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<sst xmlns="http://schemas.openxmlformats.org/spreadsheetml/2006/main" count="209" uniqueCount="106">
  <si>
    <t>Relevés floristiques aquatiques - IBMR</t>
  </si>
  <si>
    <t>Formulaire modèle GIS Macrophytes v_2.6 - février 2012</t>
  </si>
  <si>
    <t>SAGE</t>
  </si>
  <si>
    <t>L BOURGOIN C BERNARD</t>
  </si>
  <si>
    <t>conforme AFNOR T90-395 oct. 2003</t>
  </si>
  <si>
    <t>RHONE</t>
  </si>
  <si>
    <t>RUFFIEUX</t>
  </si>
  <si>
    <t>06072400</t>
  </si>
  <si>
    <t>AERMC</t>
  </si>
  <si>
    <t>Résultats</t>
  </si>
  <si>
    <t>Robustesse:</t>
  </si>
  <si>
    <t>Unité de relevé</t>
  </si>
  <si>
    <t>UR1</t>
  </si>
  <si>
    <t>UR2</t>
  </si>
  <si>
    <t>station</t>
  </si>
  <si>
    <t>IBMR:</t>
  </si>
  <si>
    <t>Faciès dominant</t>
  </si>
  <si>
    <t>ch. lentique</t>
  </si>
  <si>
    <t>niv. trophique:</t>
  </si>
  <si>
    <t>fort</t>
  </si>
  <si>
    <t>(fort)</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</si>
  <si>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</si>
  <si>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</si>
  <si>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</si>
  <si>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</si>
  <si>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</si>
  <si>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</si>
  <si>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</si>
  <si>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</si>
  <si>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</si>
  <si>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</si>
  <si>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</si>
  <si>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</si>
  <si>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</si>
  <si>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</si>
  <si>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</si>
  <si>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</si>
  <si>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</si>
  <si>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</si>
  <si>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</si>
  <si>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</si>
  <si>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</si>
  <si>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</si>
  <si>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</si>
  <si>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</si>
  <si>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</si>
  <si>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</si>
  <si>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</si>
  <si>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</si>
  <si>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</si>
  <si>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</si>
  <si>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</si>
  <si>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ATTENTION : le total par grp. floristiques doit être égal</t>
  </si>
  <si>
    <t/>
  </si>
  <si>
    <t>au total par grp. Fonctionnels !</t>
  </si>
  <si>
    <t>Détail du calcul IBMR (non imprimable, non exporté)</t>
  </si>
  <si>
    <t>ATTENTION : écart entre rec. par grp (2.68 %) et</t>
  </si>
  <si>
    <t>rec. pondéré</t>
  </si>
  <si>
    <t>voir aussi colonne BB</t>
  </si>
  <si>
    <t xml:space="preserve"> rec. par taxa (7.50936 %) supérieur à 20 % !</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</si>
  <si>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</si>
  <si>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</si>
  <si>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</si>
  <si>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</si>
  <si>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</si>
  <si>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</si>
  <si>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</si>
  <si>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</si>
  <si>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</si>
  <si>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</si>
  <si>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</si>
  <si>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</si>
  <si>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</si>
  <si>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</si>
  <si>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</si>
  <si>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</si>
  <si>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</si>
  <si>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</si>
  <si>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</si>
  <si>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</si>
  <si>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</si>
  <si>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OEDSPX</t>
  </si>
  <si>
    <t>OSCSPX</t>
  </si>
  <si>
    <t>PHOSPX</t>
  </si>
  <si>
    <t>SPISPX</t>
  </si>
  <si>
    <t>ULOSPX</t>
  </si>
  <si>
    <t>VAUSPX</t>
  </si>
  <si>
    <t>CINFON</t>
  </si>
  <si>
    <t>ELONUT</t>
  </si>
  <si>
    <t>MYRSPI</t>
  </si>
  <si>
    <t>RANFLU</t>
  </si>
  <si>
    <t>GLYFLU</t>
  </si>
  <si>
    <t>PHAARU</t>
  </si>
  <si>
    <t>VERANA</t>
  </si>
  <si>
    <t>POLSPX</t>
  </si>
  <si>
    <t>RORISL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</si>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</sst>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15" borderId="32" xfId="0" applyNumberFormat="1" applyFont="1" applyFill="1" applyBorder="1" applyAlignment="1" applyProtection="1">
      <alignment horizontal="right" vertical="top"/>
      <protection hidden="1"/>
    </xf>
    <xf numFmtId="2" fontId="30" fillId="15" borderId="33" xfId="0" applyNumberFormat="1" applyFont="1" applyFill="1" applyBorder="1" applyAlignment="1" applyProtection="1">
      <alignment horizontal="left" vertical="top"/>
      <protection hidden="1"/>
    </xf>
    <xf numFmtId="2" fontId="31" fillId="15" borderId="24" xfId="0" applyNumberFormat="1" applyFont="1" applyFill="1" applyBorder="1" applyAlignment="1" applyProtection="1">
      <alignment horizontal="left" vertical="top"/>
      <protection hidden="1"/>
    </xf>
    <xf numFmtId="2" fontId="0" fillId="15"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15" borderId="37" xfId="0" applyFont="1" applyFill="1" applyBorder="1" applyAlignment="1" applyProtection="1">
      <alignment horizontal="left"/>
      <protection hidden="1"/>
    </xf>
    <xf numFmtId="0" fontId="24" fillId="15" borderId="38" xfId="0" applyFont="1" applyFill="1" applyBorder="1" applyAlignment="1" applyProtection="1">
      <alignment horizontal="right" vertical="top"/>
      <protection hidden="1"/>
    </xf>
    <xf numFmtId="0" fontId="33" fillId="15"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RHORU_21-09-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L10" sqref="L10"/>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41173</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9.628571428571428</v>
      </c>
      <c r="M5" s="53"/>
      <c r="N5" s="54"/>
      <c r="O5" s="55">
        <v>9.193548387096774</v>
      </c>
      <c r="P5" s="56"/>
      <c r="Q5" s="8"/>
      <c r="R5" s="8"/>
      <c r="S5" s="8"/>
      <c r="T5" s="8"/>
      <c r="U5" s="8"/>
      <c r="V5" s="8"/>
      <c r="W5" s="22"/>
      <c r="X5" s="42"/>
    </row>
    <row r="6" spans="1:24" ht="13.5" thickBot="1">
      <c r="A6" s="43" t="s">
        <v>16</v>
      </c>
      <c r="B6" s="57"/>
      <c r="C6" s="57" t="s">
        <v>17</v>
      </c>
      <c r="D6" s="46"/>
      <c r="E6" s="46"/>
      <c r="F6" s="47"/>
      <c r="G6" s="48"/>
      <c r="H6" s="46"/>
      <c r="I6" s="58" t="s">
        <v>18</v>
      </c>
      <c r="J6" s="59"/>
      <c r="K6" s="60"/>
      <c r="L6" s="61" t="s">
        <v>19</v>
      </c>
      <c r="M6" s="62"/>
      <c r="N6" s="63" t="s">
        <v>20</v>
      </c>
      <c r="O6" s="63"/>
      <c r="P6" s="64"/>
      <c r="Q6" s="8"/>
      <c r="R6" s="8"/>
      <c r="S6" s="8"/>
      <c r="T6" s="8"/>
      <c r="U6" s="8"/>
      <c r="V6" s="8"/>
      <c r="W6" s="22"/>
      <c r="X6" s="23"/>
    </row>
    <row r="7" spans="1:24" ht="12.75">
      <c r="A7" s="65" t="s">
        <v>21</v>
      </c>
      <c r="B7" s="66"/>
      <c r="C7" s="67">
        <v>100</v>
      </c>
      <c r="D7" s="68"/>
      <c r="E7" s="68"/>
      <c r="F7" s="69">
        <f>IF((OR((B7+C7=100),(B7+C7=0))),B7+C7,"ATTENTION")</f>
        <v>100</v>
      </c>
      <c r="G7" s="70"/>
      <c r="H7" s="68"/>
      <c r="I7" s="71"/>
      <c r="J7" s="72"/>
      <c r="K7" s="73"/>
      <c r="L7" s="74"/>
      <c r="M7" s="75"/>
      <c r="N7" s="76" t="s">
        <v>22</v>
      </c>
      <c r="O7" s="76" t="s">
        <v>23</v>
      </c>
      <c r="P7" s="77"/>
      <c r="Q7" s="8"/>
      <c r="R7" s="8"/>
      <c r="S7" s="8"/>
      <c r="T7" s="8"/>
      <c r="U7" s="8"/>
      <c r="V7" s="8"/>
      <c r="W7" s="22"/>
      <c r="X7" s="23"/>
    </row>
    <row r="8" spans="1:24" ht="12.75">
      <c r="A8" s="78" t="s">
        <v>24</v>
      </c>
      <c r="B8" s="79"/>
      <c r="C8" s="79"/>
      <c r="D8" s="68"/>
      <c r="E8" s="68"/>
      <c r="F8" s="80" t="s">
        <v>25</v>
      </c>
      <c r="G8" s="81"/>
      <c r="H8" s="82"/>
      <c r="I8" s="71"/>
      <c r="J8" s="72"/>
      <c r="K8" s="73"/>
      <c r="L8" s="74"/>
      <c r="M8" s="83" t="s">
        <v>26</v>
      </c>
      <c r="N8" s="84">
        <f>AVERAGE(I23:I82)</f>
        <v>9.666666666666666</v>
      </c>
      <c r="O8" s="84">
        <f>AVERAGE(J23:J82)</f>
        <v>1.6</v>
      </c>
      <c r="P8" s="85"/>
      <c r="Q8" s="8"/>
      <c r="R8" s="8"/>
      <c r="S8" s="8"/>
      <c r="T8" s="8"/>
      <c r="U8" s="8"/>
      <c r="V8" s="8"/>
      <c r="W8" s="22"/>
      <c r="X8" s="23"/>
    </row>
    <row r="9" spans="1:24" ht="13.5" thickBot="1">
      <c r="A9" s="43" t="s">
        <v>27</v>
      </c>
      <c r="B9" s="86"/>
      <c r="C9" s="87">
        <v>7.5</v>
      </c>
      <c r="D9" s="88"/>
      <c r="E9" s="88"/>
      <c r="F9" s="89">
        <f aca="true" t="shared" si="0" ref="F9:F15">($B9*$B$7+$C9*$C$7)/100</f>
        <v>7.5</v>
      </c>
      <c r="G9" s="90"/>
      <c r="H9" s="91"/>
      <c r="I9" s="92"/>
      <c r="J9" s="93"/>
      <c r="K9" s="73"/>
      <c r="L9" s="94"/>
      <c r="M9" s="83" t="s">
        <v>28</v>
      </c>
      <c r="N9" s="84">
        <f>STDEV(I23:I82)</f>
        <v>2.7945525240230866</v>
      </c>
      <c r="O9" s="84">
        <f>STDEV(J23:J82)</f>
        <v>0.5070925528371101</v>
      </c>
      <c r="P9" s="85"/>
      <c r="Q9" s="8"/>
      <c r="R9" s="8"/>
      <c r="S9" s="8"/>
      <c r="T9" s="8"/>
      <c r="U9" s="8"/>
      <c r="V9" s="8"/>
      <c r="W9" s="95"/>
      <c r="X9" s="96"/>
    </row>
    <row r="10" spans="1:22" ht="13.5" thickTop="1">
      <c r="A10" s="97" t="s">
        <v>29</v>
      </c>
      <c r="B10" s="98"/>
      <c r="C10" s="99"/>
      <c r="D10" s="100"/>
      <c r="E10" s="100"/>
      <c r="F10" s="89">
        <f t="shared" si="0"/>
        <v>0</v>
      </c>
      <c r="G10" s="90"/>
      <c r="H10" s="101"/>
      <c r="I10" s="102"/>
      <c r="J10" s="103" t="s">
        <v>30</v>
      </c>
      <c r="K10" s="103"/>
      <c r="L10" s="104"/>
      <c r="M10" s="105" t="s">
        <v>31</v>
      </c>
      <c r="N10" s="106">
        <f>MIN(I23:I82)</f>
        <v>4</v>
      </c>
      <c r="O10" s="106">
        <f>MIN(J23:J82)</f>
        <v>1</v>
      </c>
      <c r="P10" s="107"/>
      <c r="Q10" s="8"/>
      <c r="R10" s="8"/>
      <c r="S10" s="8"/>
      <c r="T10" s="8"/>
      <c r="U10" s="8"/>
      <c r="V10" s="8"/>
    </row>
    <row r="11" spans="1:22" ht="12.75">
      <c r="A11" s="108" t="s">
        <v>32</v>
      </c>
      <c r="B11" s="109"/>
      <c r="C11" s="110"/>
      <c r="D11" s="111"/>
      <c r="E11" s="111"/>
      <c r="F11" s="112">
        <f t="shared" si="0"/>
        <v>0</v>
      </c>
      <c r="G11" s="113"/>
      <c r="H11" s="68"/>
      <c r="I11" s="114" t="s">
        <v>33</v>
      </c>
      <c r="J11" s="115"/>
      <c r="K11" s="116">
        <f>COUNTIF($G$23:$G$82,"=HET")</f>
        <v>0</v>
      </c>
      <c r="L11" s="117"/>
      <c r="M11" s="105" t="s">
        <v>34</v>
      </c>
      <c r="N11" s="106">
        <f>MAX(I23:I82)</f>
        <v>14</v>
      </c>
      <c r="O11" s="106">
        <f>MAX(J23:J82)</f>
        <v>2</v>
      </c>
      <c r="P11" s="107"/>
      <c r="Q11" s="8"/>
      <c r="R11" s="8"/>
      <c r="S11" s="8"/>
      <c r="T11" s="8"/>
      <c r="U11" s="8"/>
      <c r="V11" s="8"/>
    </row>
    <row r="12" spans="1:22" ht="12.75">
      <c r="A12" s="118" t="s">
        <v>35</v>
      </c>
      <c r="B12" s="119"/>
      <c r="C12" s="120">
        <v>2.66</v>
      </c>
      <c r="D12" s="111"/>
      <c r="E12" s="111"/>
      <c r="F12" s="112">
        <f t="shared" si="0"/>
        <v>2.66</v>
      </c>
      <c r="G12" s="121"/>
      <c r="H12" s="68"/>
      <c r="I12" s="122" t="s">
        <v>36</v>
      </c>
      <c r="J12" s="123"/>
      <c r="K12" s="116">
        <f>COUNTIF($G$23:$G$82,"=ALG")</f>
        <v>8</v>
      </c>
      <c r="L12" s="124"/>
      <c r="M12" s="125"/>
      <c r="N12" s="126" t="s">
        <v>30</v>
      </c>
      <c r="O12" s="127"/>
      <c r="P12" s="128"/>
      <c r="Q12" s="8"/>
      <c r="R12" s="8"/>
      <c r="S12" s="8"/>
      <c r="T12" s="8"/>
      <c r="U12" s="8"/>
      <c r="V12" s="8"/>
    </row>
    <row r="13" spans="1:22" ht="12.75">
      <c r="A13" s="118" t="s">
        <v>37</v>
      </c>
      <c r="B13" s="119"/>
      <c r="C13" s="120">
        <v>0.01</v>
      </c>
      <c r="D13" s="111"/>
      <c r="E13" s="111"/>
      <c r="F13" s="112">
        <f t="shared" si="0"/>
        <v>0.01</v>
      </c>
      <c r="G13" s="121"/>
      <c r="H13" s="68"/>
      <c r="I13" s="129" t="s">
        <v>38</v>
      </c>
      <c r="J13" s="123"/>
      <c r="K13" s="116">
        <f>COUNTIF($G$23:$G$82,"=BRm")+COUNTIF($G$23:$G$82,"=BRh")</f>
        <v>1</v>
      </c>
      <c r="L13" s="117"/>
      <c r="M13" s="130" t="s">
        <v>39</v>
      </c>
      <c r="N13" s="131">
        <f>COUNTIF(F23:F82,"&gt;0")</f>
        <v>17</v>
      </c>
      <c r="O13" s="132"/>
      <c r="P13" s="133"/>
      <c r="Q13" s="8"/>
      <c r="R13" s="8"/>
      <c r="S13" s="8"/>
      <c r="T13" s="8"/>
      <c r="U13" s="8"/>
      <c r="V13" s="8"/>
    </row>
    <row r="14" spans="1:22" ht="12.75">
      <c r="A14" s="118" t="s">
        <v>40</v>
      </c>
      <c r="B14" s="119"/>
      <c r="C14" s="120"/>
      <c r="D14" s="111"/>
      <c r="E14" s="111"/>
      <c r="F14" s="112">
        <f t="shared" si="0"/>
        <v>0</v>
      </c>
      <c r="G14" s="121"/>
      <c r="H14" s="68"/>
      <c r="I14" s="129" t="s">
        <v>41</v>
      </c>
      <c r="J14" s="123"/>
      <c r="K14" s="116">
        <f>COUNTIF($G$23:$G$82,"=PTE")+COUNTIF($G$23:$G$82,"=LIC")</f>
        <v>0</v>
      </c>
      <c r="L14" s="117"/>
      <c r="M14" s="134" t="s">
        <v>42</v>
      </c>
      <c r="N14" s="135">
        <f>COUNTIF($I$23:$I$82,"&gt;-1")</f>
        <v>15</v>
      </c>
      <c r="O14" s="136"/>
      <c r="P14" s="133"/>
      <c r="Q14" s="8"/>
      <c r="R14" s="8"/>
      <c r="S14" s="8"/>
      <c r="T14" s="8"/>
      <c r="U14" s="8"/>
      <c r="V14" s="8"/>
    </row>
    <row r="15" spans="1:22" ht="12.75">
      <c r="A15" s="137" t="s">
        <v>43</v>
      </c>
      <c r="B15" s="138"/>
      <c r="C15" s="139">
        <v>0.01</v>
      </c>
      <c r="D15" s="111"/>
      <c r="E15" s="111"/>
      <c r="F15" s="112">
        <f t="shared" si="0"/>
        <v>0.01</v>
      </c>
      <c r="G15" s="121"/>
      <c r="H15" s="68"/>
      <c r="I15" s="129" t="s">
        <v>44</v>
      </c>
      <c r="J15" s="123"/>
      <c r="K15" s="116">
        <f>(COUNTIF($G$23:$G$82,"=PHy"))+(COUNTIF($G$23:$G$82,"=PHe"))+(COUNTIF($G$23:$G$82,"=PHg"))+(COUNTIF($G$23:$G$82,"=PHx"))</f>
        <v>8</v>
      </c>
      <c r="L15" s="117"/>
      <c r="M15" s="140" t="s">
        <v>45</v>
      </c>
      <c r="N15" s="141">
        <f>COUNTIF(J23:J82,"=1")</f>
        <v>6</v>
      </c>
      <c r="O15" s="142"/>
      <c r="P15" s="133"/>
      <c r="Q15" s="8"/>
      <c r="R15" s="8"/>
      <c r="S15" s="8"/>
      <c r="T15" s="8"/>
      <c r="U15" s="8"/>
      <c r="V15" s="8"/>
    </row>
    <row r="16" spans="1:22" ht="12.75">
      <c r="A16" s="108" t="s">
        <v>46</v>
      </c>
      <c r="B16" s="109"/>
      <c r="C16" s="110"/>
      <c r="D16" s="143"/>
      <c r="E16" s="143"/>
      <c r="F16" s="144"/>
      <c r="G16" s="144">
        <f>($B16*$B$7+$C16*$C$7)/100</f>
        <v>0</v>
      </c>
      <c r="H16" s="68"/>
      <c r="I16" s="145"/>
      <c r="J16" s="146"/>
      <c r="K16" s="146"/>
      <c r="L16" s="117"/>
      <c r="M16" s="140" t="s">
        <v>47</v>
      </c>
      <c r="N16" s="141">
        <f>COUNTIF(J23:J82,"=2")</f>
        <v>9</v>
      </c>
      <c r="O16" s="142"/>
      <c r="P16" s="133"/>
      <c r="Q16" s="8"/>
      <c r="R16" s="8"/>
      <c r="S16" s="8"/>
      <c r="T16" s="8"/>
      <c r="U16" s="8"/>
      <c r="V16" s="8"/>
    </row>
    <row r="17" spans="1:22" ht="12.75">
      <c r="A17" s="118" t="s">
        <v>48</v>
      </c>
      <c r="B17" s="119"/>
      <c r="C17" s="120">
        <v>7.5</v>
      </c>
      <c r="D17" s="111"/>
      <c r="E17" s="111"/>
      <c r="F17" s="147"/>
      <c r="G17" s="112">
        <f>($B17*$B$7+$C17*$C$7)/100</f>
        <v>7.5</v>
      </c>
      <c r="H17" s="68"/>
      <c r="I17" s="129"/>
      <c r="J17" s="123"/>
      <c r="K17" s="146"/>
      <c r="L17" s="117"/>
      <c r="M17" s="140" t="s">
        <v>49</v>
      </c>
      <c r="N17" s="141">
        <f>COUNTIF(J23:J82,"=3")</f>
        <v>0</v>
      </c>
      <c r="O17" s="142"/>
      <c r="P17" s="133"/>
      <c r="Q17" s="8"/>
      <c r="R17" s="8"/>
      <c r="S17" s="8"/>
      <c r="T17" s="8"/>
      <c r="U17" s="8"/>
      <c r="V17" s="8"/>
    </row>
    <row r="18" spans="1:23" ht="12.75">
      <c r="A18" s="148" t="s">
        <v>50</v>
      </c>
      <c r="B18" s="149"/>
      <c r="C18" s="150"/>
      <c r="D18" s="111"/>
      <c r="E18" s="151" t="s">
        <v>51</v>
      </c>
      <c r="F18" s="147"/>
      <c r="G18" s="112">
        <f>($B18*$B$7+$C18*$C$7)/100</f>
        <v>0</v>
      </c>
      <c r="H18" s="68"/>
      <c r="I18" s="129"/>
      <c r="J18" s="123"/>
      <c r="K18" s="146"/>
      <c r="L18" s="117"/>
      <c r="M18" s="152"/>
      <c r="N18" s="152"/>
      <c r="O18" s="142"/>
      <c r="P18" s="153"/>
      <c r="Q18" s="8"/>
      <c r="R18" s="8"/>
      <c r="S18" s="8"/>
      <c r="T18" s="8"/>
      <c r="U18" s="8"/>
      <c r="V18" s="8" t="s">
        <v>52</v>
      </c>
      <c r="W18" s="154" t="s">
        <v>53</v>
      </c>
    </row>
    <row r="19" spans="1:23" ht="13.5" thickBot="1">
      <c r="A19" s="155">
        <f>IF(AND(OR(AND((B9=""),(B7="")),(B9=""),AND(ISNUMBER(B9),ISNUMBER(B7))),OR(AND((C9=""),(C7="")),(C9=""),AND(ISNUMBER(C9),ISNUMBER(C7)))),"","ATTENTION: renseigner % faciès / station")</f>
      </c>
      <c r="B19" s="156"/>
      <c r="C19" s="157"/>
      <c r="D19" s="158" t="str">
        <f>IF(G19=F19,"","ATTENTION : le total par grp. floristiques doit être égal")</f>
        <v>ATTENTION : le total par grp. floristiques doit être égal</v>
      </c>
      <c r="E19" s="159" t="str">
        <f>IF(G19=F19,"","au total par grp. Fonctionnels !")</f>
        <v>au total par grp. Fonctionnels !</v>
      </c>
      <c r="F19" s="160">
        <f>SUM(F11:F15)</f>
        <v>2.6799999999999997</v>
      </c>
      <c r="G19" s="160">
        <f>SUM(G16:G18)</f>
        <v>7.5</v>
      </c>
      <c r="H19" s="161"/>
      <c r="I19" s="162"/>
      <c r="J19" s="163"/>
      <c r="K19" s="164"/>
      <c r="L19" s="165"/>
      <c r="M19" s="166"/>
      <c r="N19" s="60"/>
      <c r="O19" s="167"/>
      <c r="P19" s="153"/>
      <c r="Q19" s="8"/>
      <c r="R19" s="8"/>
      <c r="S19" s="8"/>
      <c r="T19" s="8"/>
      <c r="U19" s="8"/>
      <c r="V19" s="8" t="s">
        <v>54</v>
      </c>
      <c r="W19" s="154" t="s">
        <v>53</v>
      </c>
    </row>
    <row r="20" spans="1:23" ht="12.75">
      <c r="A20" s="168" t="s">
        <v>105</v>
      </c>
      <c r="B20" s="169">
        <f>SUM(B23:B82)</f>
        <v>0</v>
      </c>
      <c r="C20" s="170">
        <f>SUM(C23:C82)</f>
        <v>7.509359999999999</v>
      </c>
      <c r="D20" s="171"/>
      <c r="E20" s="172" t="s">
        <v>51</v>
      </c>
      <c r="F20" s="173">
        <f>($B20*$B$7+$C20*$C$7)/100</f>
        <v>7.509359999999999</v>
      </c>
      <c r="G20" s="174"/>
      <c r="H20" s="175"/>
      <c r="I20" s="176"/>
      <c r="J20" s="176"/>
      <c r="K20" s="177"/>
      <c r="L20" s="47"/>
      <c r="M20" s="178"/>
      <c r="N20" s="178"/>
      <c r="O20" s="179"/>
      <c r="P20" s="180"/>
      <c r="Q20" s="181" t="s">
        <v>55</v>
      </c>
      <c r="R20" s="8"/>
      <c r="S20" s="8"/>
      <c r="T20" s="8"/>
      <c r="U20" s="8"/>
      <c r="V20" s="8" t="s">
        <v>56</v>
      </c>
      <c r="W20" s="154" t="s">
        <v>53</v>
      </c>
    </row>
    <row r="21" spans="1:23" ht="12.75">
      <c r="A21" s="182" t="s">
        <v>57</v>
      </c>
      <c r="B21" s="183">
        <f>B20*B7/100</f>
        <v>0</v>
      </c>
      <c r="C21" s="183">
        <f>C20*C7/100</f>
        <v>7.509359999999999</v>
      </c>
      <c r="D21" s="111" t="str">
        <f>IF(F21=0,"",IF((ABS(F21-F19))&gt;(0.2*F21),CONCATENATE(" rec. par taxa (",F21," %) supérieur à 20 % !"),""))</f>
        <v> rec. par taxa (7.50936 %) supérieur à 20 % !</v>
      </c>
      <c r="E21" s="184" t="str">
        <f>IF(F21=0,"",IF((ABS(F21-F19))&gt;(0.2*F21),CONCATENATE("ATTENTION : écart entre rec. par grp (",F19," %) ","et",""),""))</f>
        <v>ATTENTION : écart entre rec. par grp (2.68 %) et</v>
      </c>
      <c r="F21" s="185">
        <f>B21+C21</f>
        <v>7.509359999999999</v>
      </c>
      <c r="G21" s="186"/>
      <c r="H21" s="111"/>
      <c r="I21" s="187"/>
      <c r="J21" s="187"/>
      <c r="K21" s="188"/>
      <c r="L21" s="188"/>
      <c r="M21" s="189"/>
      <c r="N21" s="189"/>
      <c r="O21" s="190"/>
      <c r="P21" s="191"/>
      <c r="Q21" s="192" t="s">
        <v>58</v>
      </c>
      <c r="R21" s="8"/>
      <c r="S21" s="8"/>
      <c r="T21" s="8"/>
      <c r="U21" s="8"/>
      <c r="V21" s="8" t="s">
        <v>59</v>
      </c>
      <c r="W21" s="154" t="s">
        <v>53</v>
      </c>
    </row>
    <row r="22" spans="1:29" ht="12.75">
      <c r="A22" s="193" t="s">
        <v>60</v>
      </c>
      <c r="B22" s="194" t="s">
        <v>61</v>
      </c>
      <c r="C22" s="195" t="s">
        <v>61</v>
      </c>
      <c r="D22" s="143"/>
      <c r="E22" s="143"/>
      <c r="F22" s="196" t="s">
        <v>62</v>
      </c>
      <c r="G22" s="197" t="s">
        <v>63</v>
      </c>
      <c r="H22" s="143"/>
      <c r="I22" s="198" t="s">
        <v>64</v>
      </c>
      <c r="J22" s="198" t="s">
        <v>65</v>
      </c>
      <c r="K22" s="199" t="s">
        <v>66</v>
      </c>
      <c r="L22" s="199"/>
      <c r="M22" s="199"/>
      <c r="N22" s="199"/>
      <c r="O22" s="200"/>
      <c r="P22" s="201" t="s">
        <v>67</v>
      </c>
      <c r="Q22" s="202" t="s">
        <v>68</v>
      </c>
      <c r="R22" s="203" t="s">
        <v>69</v>
      </c>
      <c r="S22" s="204" t="s">
        <v>70</v>
      </c>
      <c r="T22" s="205" t="s">
        <v>71</v>
      </c>
      <c r="U22" s="206" t="s">
        <v>72</v>
      </c>
      <c r="V22" s="204" t="s">
        <v>73</v>
      </c>
      <c r="Y22" s="8" t="s">
        <v>74</v>
      </c>
      <c r="Z22" s="8" t="s">
        <v>75</v>
      </c>
      <c r="AA22" s="207" t="s">
        <v>76</v>
      </c>
      <c r="AB22" s="207" t="s">
        <v>77</v>
      </c>
      <c r="AC22" s="208" t="s">
        <v>78</v>
      </c>
    </row>
    <row r="23" spans="1:55" ht="12.75">
      <c r="A23" s="209" t="s">
        <v>79</v>
      </c>
      <c r="B23" s="210"/>
      <c r="C23" s="211">
        <v>0.5536</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0.5536</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0.5536</v>
      </c>
      <c r="R23" s="222">
        <f aca="true" t="shared" si="4" ref="R23:R54">IF(OR(ISTEXT(H23),Q23=0),"",IF(Q23&lt;0.1,1,IF(Q23&lt;1,2,IF(Q23&lt;10,3,IF(Q23&lt;50,4,IF(Q23&gt;=50,5,""))))))</f>
        <v>2</v>
      </c>
      <c r="S23" s="222">
        <f aca="true" t="shared" si="5" ref="S23:S54">IF(ISERROR(R23*I23),0,R23*I23)</f>
        <v>12</v>
      </c>
      <c r="T23" s="222">
        <f aca="true" t="shared" si="6" ref="T23:T54">IF(ISERROR(R23*I23*J23),0,R23*I23*J23)</f>
        <v>12</v>
      </c>
      <c r="U23" s="222">
        <f aca="true" t="shared" si="7" ref="U23:U54">IF(ISERROR(R23*J23),0,R23*J23)</f>
        <v>2</v>
      </c>
      <c r="V23" s="223">
        <v>2</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80</v>
      </c>
      <c r="B24" s="229"/>
      <c r="C24" s="230">
        <v>0.01984</v>
      </c>
      <c r="D24" s="231" t="str">
        <f>IF(ISERROR(VLOOKUP($A24,'[1]liste reference'!$A$7:$D$892,2,0)),IF(ISERROR(VLOOKUP($A24,'[1]liste reference'!$B$7:$D$892,1,0)),"",VLOOKUP($A24,'[1]liste reference'!$B$7:$D$892,1,0)),VLOOKUP($A24,'[1]liste reference'!$A$7:$D$892,2,0))</f>
        <v>Diatoma sp.</v>
      </c>
      <c r="E24" s="231" t="e">
        <f>IF(D24="",,VLOOKUP(D24,D$22:D23,1,0))</f>
        <v>#N/A</v>
      </c>
      <c r="F24" s="232">
        <f t="shared" si="1"/>
        <v>0.01984</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0.01984</v>
      </c>
      <c r="R24" s="222">
        <f t="shared" si="4"/>
        <v>1</v>
      </c>
      <c r="S24" s="222">
        <f t="shared" si="5"/>
        <v>12</v>
      </c>
      <c r="T24" s="222">
        <f t="shared" si="6"/>
        <v>24</v>
      </c>
      <c r="U24" s="236">
        <f t="shared" si="7"/>
        <v>2</v>
      </c>
      <c r="V24" s="223">
        <v>2</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81</v>
      </c>
      <c r="B25" s="229"/>
      <c r="C25" s="230">
        <v>0.08896000000000001</v>
      </c>
      <c r="D25" s="231" t="str">
        <f>IF(ISERROR(VLOOKUP($A25,'[1]liste reference'!$A$7:$D$892,2,0)),IF(ISERROR(VLOOKUP($A25,'[1]liste reference'!$B$7:$D$892,1,0)),"",VLOOKUP($A25,'[1]liste reference'!$B$7:$D$892,1,0)),VLOOKUP($A25,'[1]liste reference'!$A$7:$D$892,2,0))</f>
        <v>Oedogonium sp.</v>
      </c>
      <c r="E25" s="231" t="e">
        <f>IF(D25="",,VLOOKUP(D25,D$22:D24,1,0))</f>
        <v>#N/A</v>
      </c>
      <c r="F25" s="232">
        <f t="shared" si="1"/>
        <v>0.08896000000000001</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6</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Oedogonium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1134</v>
      </c>
      <c r="Q25" s="221">
        <f t="shared" si="3"/>
        <v>0.08896000000000001</v>
      </c>
      <c r="R25" s="222">
        <f t="shared" si="4"/>
        <v>1</v>
      </c>
      <c r="S25" s="222">
        <f t="shared" si="5"/>
        <v>6</v>
      </c>
      <c r="T25" s="222">
        <f t="shared" si="6"/>
        <v>12</v>
      </c>
      <c r="U25" s="236">
        <f t="shared" si="7"/>
        <v>2</v>
      </c>
      <c r="V25" s="223">
        <v>2</v>
      </c>
      <c r="W25" s="224" t="s">
        <v>53</v>
      </c>
      <c r="Y25" s="225" t="str">
        <f>IF(A25="new.cod","NEWCOD",IF(AND((Z25=""),ISTEXT(A25)),A25,IF(Z25="","",INDEX('[1]liste reference'!$A$7:$A$892,Z25))))</f>
        <v>OEDSPX</v>
      </c>
      <c r="Z25" s="8">
        <f>IF(ISERROR(MATCH(A25,'[1]liste reference'!$A$7:$A$892,0)),IF(ISERROR(MATCH(A25,'[1]liste reference'!$B$7:$B$892,0)),"",(MATCH(A25,'[1]liste reference'!$B$7:$B$892,0))),(MATCH(A25,'[1]liste reference'!$A$7:$A$892,0)))</f>
        <v>542</v>
      </c>
      <c r="AA25" s="226"/>
      <c r="AB25" s="227"/>
      <c r="AC25" s="227"/>
      <c r="BC25" s="8">
        <f t="shared" si="8"/>
        <v>1</v>
      </c>
    </row>
    <row r="26" spans="1:55" ht="12.75">
      <c r="A26" s="228" t="s">
        <v>82</v>
      </c>
      <c r="B26" s="229"/>
      <c r="C26" s="230">
        <v>0.00016</v>
      </c>
      <c r="D26" s="231" t="str">
        <f>IF(ISERROR(VLOOKUP($A26,'[1]liste reference'!$A$7:$D$892,2,0)),IF(ISERROR(VLOOKUP($A26,'[1]liste reference'!$B$7:$D$892,1,0)),"",VLOOKUP($A26,'[1]liste reference'!$B$7:$D$892,1,0)),VLOOKUP($A26,'[1]liste reference'!$A$7:$D$892,2,0))</f>
        <v>Oscillatoria sp.</v>
      </c>
      <c r="E26" s="231" t="e">
        <f>IF(D26="",,VLOOKUP(D26,D$22:D25,1,0))</f>
        <v>#N/A</v>
      </c>
      <c r="F26" s="232">
        <f t="shared" si="1"/>
        <v>0.00016</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11</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Oscillatoria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118</v>
      </c>
      <c r="Q26" s="221">
        <f t="shared" si="3"/>
        <v>0.00016</v>
      </c>
      <c r="R26" s="222">
        <f t="shared" si="4"/>
        <v>1</v>
      </c>
      <c r="S26" s="222">
        <f t="shared" si="5"/>
        <v>11</v>
      </c>
      <c r="T26" s="222">
        <f t="shared" si="6"/>
        <v>11</v>
      </c>
      <c r="U26" s="236">
        <f t="shared" si="7"/>
        <v>1</v>
      </c>
      <c r="V26" s="223">
        <v>1</v>
      </c>
      <c r="W26" s="224" t="s">
        <v>53</v>
      </c>
      <c r="Y26" s="225" t="str">
        <f>IF(A26="new.cod","NEWCOD",IF(AND((Z26=""),ISTEXT(A26)),A26,IF(Z26="","",INDEX('[1]liste reference'!$A$7:$A$892,Z26))))</f>
        <v>OSCSPX</v>
      </c>
      <c r="Z26" s="8">
        <f>IF(ISERROR(MATCH(A26,'[1]liste reference'!$A$7:$A$892,0)),IF(ISERROR(MATCH(A26,'[1]liste reference'!$B$7:$B$892,0)),"",(MATCH(A26,'[1]liste reference'!$B$7:$B$892,0))),(MATCH(A26,'[1]liste reference'!$A$7:$A$892,0)))</f>
        <v>551</v>
      </c>
      <c r="AA26" s="226"/>
      <c r="AB26" s="227"/>
      <c r="AC26" s="227"/>
      <c r="BC26" s="8">
        <f t="shared" si="8"/>
        <v>1</v>
      </c>
    </row>
    <row r="27" spans="1:55" ht="12.75">
      <c r="A27" s="228" t="s">
        <v>83</v>
      </c>
      <c r="B27" s="229"/>
      <c r="C27" s="230">
        <v>0.48</v>
      </c>
      <c r="D27" s="231" t="str">
        <f>IF(ISERROR(VLOOKUP($A27,'[1]liste reference'!$A$7:$D$892,2,0)),IF(ISERROR(VLOOKUP($A27,'[1]liste reference'!$B$7:$D$892,1,0)),"",VLOOKUP($A27,'[1]liste reference'!$B$7:$D$892,1,0)),VLOOKUP($A27,'[1]liste reference'!$A$7:$D$892,2,0))</f>
        <v>Phormidium sp.</v>
      </c>
      <c r="E27" s="231" t="e">
        <f>IF(D27="",,VLOOKUP(D27,D$22:D26,1,0))</f>
        <v>#N/A</v>
      </c>
      <c r="F27" s="232">
        <f t="shared" si="1"/>
        <v>0.48</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13</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Phormidium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6414</v>
      </c>
      <c r="Q27" s="221">
        <f t="shared" si="3"/>
        <v>0.48</v>
      </c>
      <c r="R27" s="222">
        <f t="shared" si="4"/>
        <v>2</v>
      </c>
      <c r="S27" s="222">
        <f t="shared" si="5"/>
        <v>26</v>
      </c>
      <c r="T27" s="222">
        <f t="shared" si="6"/>
        <v>52</v>
      </c>
      <c r="U27" s="236">
        <f t="shared" si="7"/>
        <v>4</v>
      </c>
      <c r="V27" s="223">
        <v>4</v>
      </c>
      <c r="W27" s="224" t="s">
        <v>53</v>
      </c>
      <c r="Y27" s="225" t="str">
        <f>IF(A27="new.cod","NEWCOD",IF(AND((Z27=""),ISTEXT(A27)),A27,IF(Z27="","",INDEX('[1]liste reference'!$A$7:$A$892,Z27))))</f>
        <v>PHOSPX</v>
      </c>
      <c r="Z27" s="8">
        <f>IF(ISERROR(MATCH(A27,'[1]liste reference'!$A$7:$A$892,0)),IF(ISERROR(MATCH(A27,'[1]liste reference'!$B$7:$B$892,0)),"",(MATCH(A27,'[1]liste reference'!$B$7:$B$892,0))),(MATCH(A27,'[1]liste reference'!$A$7:$A$892,0)))</f>
        <v>570</v>
      </c>
      <c r="AA27" s="226"/>
      <c r="AB27" s="227"/>
      <c r="AC27" s="227"/>
      <c r="BC27" s="8">
        <f t="shared" si="8"/>
        <v>1</v>
      </c>
    </row>
    <row r="28" spans="1:55" ht="12.75">
      <c r="A28" s="228" t="s">
        <v>84</v>
      </c>
      <c r="B28" s="229"/>
      <c r="C28" s="230">
        <v>0.6816</v>
      </c>
      <c r="D28" s="231" t="str">
        <f>IF(ISERROR(VLOOKUP($A28,'[1]liste reference'!$A$7:$D$892,2,0)),IF(ISERROR(VLOOKUP($A28,'[1]liste reference'!$B$7:$D$892,1,0)),"",VLOOKUP($A28,'[1]liste reference'!$B$7:$D$892,1,0)),VLOOKUP($A28,'[1]liste reference'!$A$7:$D$892,2,0))</f>
        <v>Spirogyra sp.</v>
      </c>
      <c r="E28" s="231" t="e">
        <f>IF(D28="",,VLOOKUP(D28,D$22:D27,1,0))</f>
        <v>#N/A</v>
      </c>
      <c r="F28" s="232">
        <f t="shared" si="1"/>
        <v>0.6816</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10</v>
      </c>
      <c r="J28" s="217">
        <f>IF(ISNUMBER(H28),IF(ISERROR(VLOOKUP($A28,'[1]liste reference'!$A$7:$P$892,4,0)),IF(ISERROR(VLOOKUP($A28,'[1]liste reference'!$B$7:$P$892,3,0)),"",VLOOKUP($A28,'[1]liste reference'!$B$7:$P$892,3,0)),VLOOKUP($A28,'[1]liste reference'!$A$7:$P$892,4,0)),"")</f>
        <v>1</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Spirogyra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1147</v>
      </c>
      <c r="Q28" s="221">
        <f t="shared" si="3"/>
        <v>0.6816</v>
      </c>
      <c r="R28" s="222">
        <f t="shared" si="4"/>
        <v>2</v>
      </c>
      <c r="S28" s="222">
        <f t="shared" si="5"/>
        <v>20</v>
      </c>
      <c r="T28" s="222">
        <f t="shared" si="6"/>
        <v>20</v>
      </c>
      <c r="U28" s="236">
        <f t="shared" si="7"/>
        <v>2</v>
      </c>
      <c r="V28" s="223">
        <v>2</v>
      </c>
      <c r="W28" s="224" t="s">
        <v>53</v>
      </c>
      <c r="Y28" s="225" t="str">
        <f>IF(A28="new.cod","NEWCOD",IF(AND((Z28=""),ISTEXT(A28)),A28,IF(Z28="","",INDEX('[1]liste reference'!$A$7:$A$892,Z28))))</f>
        <v>SPISPX</v>
      </c>
      <c r="Z28" s="8">
        <f>IF(ISERROR(MATCH(A28,'[1]liste reference'!$A$7:$A$892,0)),IF(ISERROR(MATCH(A28,'[1]liste reference'!$B$7:$B$892,0)),"",(MATCH(A28,'[1]liste reference'!$B$7:$B$892,0))),(MATCH(A28,'[1]liste reference'!$A$7:$A$892,0)))</f>
        <v>815</v>
      </c>
      <c r="AA28" s="226"/>
      <c r="AB28" s="227"/>
      <c r="AC28" s="227"/>
      <c r="BC28" s="8">
        <f t="shared" si="8"/>
        <v>1</v>
      </c>
    </row>
    <row r="29" spans="1:55" ht="12.75">
      <c r="A29" s="228" t="s">
        <v>85</v>
      </c>
      <c r="B29" s="229"/>
      <c r="C29" s="230">
        <v>0.0064</v>
      </c>
      <c r="D29" s="231" t="str">
        <f>IF(ISERROR(VLOOKUP($A29,'[1]liste reference'!$A$7:$D$892,2,0)),IF(ISERROR(VLOOKUP($A29,'[1]liste reference'!$B$7:$D$892,1,0)),"",VLOOKUP($A29,'[1]liste reference'!$B$7:$D$892,1,0)),VLOOKUP($A29,'[1]liste reference'!$A$7:$D$892,2,0))</f>
        <v>Ulothrix sp.</v>
      </c>
      <c r="E29" s="231" t="e">
        <f>IF(D29="",,VLOOKUP(D29,D$22:D28,1,0))</f>
        <v>#N/A</v>
      </c>
      <c r="F29" s="232">
        <f t="shared" si="1"/>
        <v>0.0064</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Ulothrix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1142</v>
      </c>
      <c r="Q29" s="221">
        <f t="shared" si="3"/>
        <v>0.0064</v>
      </c>
      <c r="R29" s="222">
        <f t="shared" si="4"/>
        <v>1</v>
      </c>
      <c r="S29" s="222">
        <f t="shared" si="5"/>
        <v>10</v>
      </c>
      <c r="T29" s="222">
        <f t="shared" si="6"/>
        <v>10</v>
      </c>
      <c r="U29" s="236">
        <f t="shared" si="7"/>
        <v>1</v>
      </c>
      <c r="V29" s="223">
        <v>1</v>
      </c>
      <c r="W29" s="224" t="s">
        <v>53</v>
      </c>
      <c r="Y29" s="225" t="str">
        <f>IF(A29="new.cod","NEWCOD",IF(AND((Z29=""),ISTEXT(A29)),A29,IF(Z29="","",INDEX('[1]liste reference'!$A$7:$A$892,Z29))))</f>
        <v>ULOSPX</v>
      </c>
      <c r="Z29" s="8">
        <f>IF(ISERROR(MATCH(A29,'[1]liste reference'!$A$7:$A$892,0)),IF(ISERROR(MATCH(A29,'[1]liste reference'!$B$7:$B$892,0)),"",(MATCH(A29,'[1]liste reference'!$B$7:$B$892,0))),(MATCH(A29,'[1]liste reference'!$A$7:$A$892,0)))</f>
        <v>851</v>
      </c>
      <c r="AA29" s="226"/>
      <c r="AB29" s="227"/>
      <c r="AC29" s="227"/>
      <c r="BC29" s="8">
        <f t="shared" si="8"/>
        <v>1</v>
      </c>
    </row>
    <row r="30" spans="1:55" ht="12.75">
      <c r="A30" s="228" t="s">
        <v>86</v>
      </c>
      <c r="B30" s="229"/>
      <c r="C30" s="230">
        <v>0.6336</v>
      </c>
      <c r="D30" s="231" t="str">
        <f>IF(ISERROR(VLOOKUP($A30,'[1]liste reference'!$A$7:$D$892,2,0)),IF(ISERROR(VLOOKUP($A30,'[1]liste reference'!$B$7:$D$892,1,0)),"",VLOOKUP($A30,'[1]liste reference'!$B$7:$D$892,1,0)),VLOOKUP($A30,'[1]liste reference'!$A$7:$D$892,2,0))</f>
        <v>Vaucheria sp.</v>
      </c>
      <c r="E30" s="231" t="e">
        <f>IF(D30="",,VLOOKUP(D30,D$22:D29,1,0))</f>
        <v>#N/A</v>
      </c>
      <c r="F30" s="232">
        <f t="shared" si="1"/>
        <v>0.6336</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4</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Vaucheria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6193</v>
      </c>
      <c r="Q30" s="221">
        <f t="shared" si="3"/>
        <v>0.6336</v>
      </c>
      <c r="R30" s="222">
        <f t="shared" si="4"/>
        <v>2</v>
      </c>
      <c r="S30" s="222">
        <f t="shared" si="5"/>
        <v>8</v>
      </c>
      <c r="T30" s="222">
        <f t="shared" si="6"/>
        <v>8</v>
      </c>
      <c r="U30" s="236">
        <f t="shared" si="7"/>
        <v>2</v>
      </c>
      <c r="V30" s="223">
        <v>2</v>
      </c>
      <c r="W30" s="224" t="s">
        <v>53</v>
      </c>
      <c r="Y30" s="225" t="str">
        <f>IF(A30="new.cod","NEWCOD",IF(AND((Z30=""),ISTEXT(A30)),A30,IF(Z30="","",INDEX('[1]liste reference'!$A$7:$A$892,Z30))))</f>
        <v>VAUSPX</v>
      </c>
      <c r="Z30" s="8">
        <f>IF(ISERROR(MATCH(A30,'[1]liste reference'!$A$7:$A$892,0)),IF(ISERROR(MATCH(A30,'[1]liste reference'!$B$7:$B$892,0)),"",(MATCH(A30,'[1]liste reference'!$B$7:$B$892,0))),(MATCH(A30,'[1]liste reference'!$A$7:$A$892,0)))</f>
        <v>864</v>
      </c>
      <c r="AA30" s="226"/>
      <c r="AB30" s="227"/>
      <c r="AC30" s="227"/>
      <c r="BC30" s="8">
        <f t="shared" si="8"/>
        <v>1</v>
      </c>
    </row>
    <row r="31" spans="1:55" ht="12.75">
      <c r="A31" s="228" t="s">
        <v>87</v>
      </c>
      <c r="B31" s="229"/>
      <c r="C31" s="230">
        <v>0.016</v>
      </c>
      <c r="D31" s="231" t="str">
        <f>IF(ISERROR(VLOOKUP($A31,'[1]liste reference'!$A$7:$D$892,2,0)),IF(ISERROR(VLOOKUP($A31,'[1]liste reference'!$B$7:$D$892,1,0)),"",VLOOKUP($A31,'[1]liste reference'!$B$7:$D$892,1,0)),VLOOKUP($A31,'[1]liste reference'!$A$7:$D$892,2,0))</f>
        <v>Cinclidotus fontinaloides</v>
      </c>
      <c r="E31" s="231" t="e">
        <f>IF(D31="",,VLOOKUP(D31,D$22:D30,1,0))</f>
        <v>#N/A</v>
      </c>
      <c r="F31" s="232">
        <f t="shared" si="1"/>
        <v>0.016</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12</v>
      </c>
      <c r="J31" s="217">
        <f>IF(ISNUMBER(H31),IF(ISERROR(VLOOKUP($A31,'[1]liste reference'!$A$7:$P$892,4,0)),IF(ISERROR(VLOOKUP($A31,'[1]liste reference'!$B$7:$P$892,3,0)),"",VLOOKUP($A31,'[1]liste reference'!$B$7:$P$892,3,0)),VLOOKUP($A31,'[1]liste reference'!$A$7:$P$892,4,0)),"")</f>
        <v>2</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Cinclidotus fontinaloides</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132</v>
      </c>
      <c r="Q31" s="221">
        <f t="shared" si="3"/>
        <v>0.016</v>
      </c>
      <c r="R31" s="222">
        <f t="shared" si="4"/>
        <v>1</v>
      </c>
      <c r="S31" s="222">
        <f t="shared" si="5"/>
        <v>12</v>
      </c>
      <c r="T31" s="222">
        <f t="shared" si="6"/>
        <v>24</v>
      </c>
      <c r="U31" s="236">
        <f t="shared" si="7"/>
        <v>2</v>
      </c>
      <c r="V31" s="223">
        <v>2</v>
      </c>
      <c r="W31" s="224" t="s">
        <v>53</v>
      </c>
      <c r="Y31" s="225" t="str">
        <f>IF(A31="new.cod","NEWCOD",IF(AND((Z31=""),ISTEXT(A31)),A31,IF(Z31="","",INDEX('[1]liste reference'!$A$7:$A$892,Z31))))</f>
        <v>CINFON</v>
      </c>
      <c r="Z31" s="8">
        <f>IF(ISERROR(MATCH(A31,'[1]liste reference'!$A$7:$A$892,0)),IF(ISERROR(MATCH(A31,'[1]liste reference'!$B$7:$B$892,0)),"",(MATCH(A31,'[1]liste reference'!$B$7:$B$892,0))),(MATCH(A31,'[1]liste reference'!$A$7:$A$892,0)))</f>
        <v>175</v>
      </c>
      <c r="AA31" s="226"/>
      <c r="AB31" s="227"/>
      <c r="AC31" s="227"/>
      <c r="BC31" s="8">
        <f t="shared" si="8"/>
        <v>1</v>
      </c>
    </row>
    <row r="32" spans="1:55" ht="12.75">
      <c r="A32" s="228" t="s">
        <v>88</v>
      </c>
      <c r="B32" s="229"/>
      <c r="C32" s="230">
        <v>0.0436</v>
      </c>
      <c r="D32" s="231" t="str">
        <f>IF(ISERROR(VLOOKUP($A32,'[1]liste reference'!$A$7:$D$892,2,0)),IF(ISERROR(VLOOKUP($A32,'[1]liste reference'!$B$7:$D$892,1,0)),"",VLOOKUP($A32,'[1]liste reference'!$B$7:$D$892,1,0)),VLOOKUP($A32,'[1]liste reference'!$A$7:$D$892,2,0))</f>
        <v>Elodea nuttallii</v>
      </c>
      <c r="E32" s="231" t="e">
        <f>IF(D32="",,VLOOKUP(D32,D$22:D31,1,0))</f>
        <v>#N/A</v>
      </c>
      <c r="F32" s="232">
        <f t="shared" si="1"/>
        <v>0.0436</v>
      </c>
      <c r="G32" s="233" t="str">
        <f>IF(A32="","",IF(ISERROR(VLOOKUP($A32,'[1]liste reference'!$A$7:$P$892,13,0)),IF(ISERROR(VLOOKUP($A32,'[1]liste reference'!$B$7:$P$892,12,0)),"    -",VLOOKUP($A32,'[1]liste reference'!$B$7:$P$892,12,0)),VLOOKUP($A32,'[1]liste reference'!$A$7:$P$892,13,0)))</f>
        <v>PHy</v>
      </c>
      <c r="H32" s="215">
        <f>IF(A32="","x",IF(ISERROR(VLOOKUP($A32,'[1]liste reference'!$A$7:$P$892,14,0)),IF(ISERROR(VLOOKUP($A32,'[1]liste reference'!$B$7:$P$892,13,0)),"x",VLOOKUP($A32,'[1]liste reference'!$B$7:$P$892,13,0)),VLOOKUP($A32,'[1]liste reference'!$A$7:$P$892,14,0)))</f>
        <v>7</v>
      </c>
      <c r="I32" s="234">
        <f>IF(ISNUMBER(H32),IF(ISERROR(VLOOKUP($A32,'[1]liste reference'!$A$7:$P$892,3,0)),IF(ISERROR(VLOOKUP($A32,'[1]liste reference'!$B$7:$P$892,2,0)),"",VLOOKUP($A32,'[1]liste reference'!$B$7:$P$892,2,0)),VLOOKUP($A32,'[1]liste reference'!$A$7:$P$892,3,0)),"")</f>
        <v>8</v>
      </c>
      <c r="J32" s="217">
        <f>IF(ISNUMBER(H32),IF(ISERROR(VLOOKUP($A32,'[1]liste reference'!$A$7:$P$892,4,0)),IF(ISERROR(VLOOKUP($A32,'[1]liste reference'!$B$7:$P$892,3,0)),"",VLOOKUP($A32,'[1]liste reference'!$B$7:$P$892,3,0)),VLOOKUP($A32,'[1]liste reference'!$A$7:$P$892,4,0)),"")</f>
        <v>2</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Elodea nuttallii</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1588</v>
      </c>
      <c r="Q32" s="221">
        <f t="shared" si="3"/>
        <v>0.0436</v>
      </c>
      <c r="R32" s="222">
        <f t="shared" si="4"/>
        <v>1</v>
      </c>
      <c r="S32" s="222">
        <f t="shared" si="5"/>
        <v>8</v>
      </c>
      <c r="T32" s="222">
        <f t="shared" si="6"/>
        <v>16</v>
      </c>
      <c r="U32" s="236">
        <f t="shared" si="7"/>
        <v>2</v>
      </c>
      <c r="V32" s="223">
        <v>2</v>
      </c>
      <c r="W32" s="224" t="s">
        <v>53</v>
      </c>
      <c r="Y32" s="225" t="str">
        <f>IF(A32="new.cod","NEWCOD",IF(AND((Z32=""),ISTEXT(A32)),A32,IF(Z32="","",INDEX('[1]liste reference'!$A$7:$A$892,Z32))))</f>
        <v>ELONUT</v>
      </c>
      <c r="Z32" s="8">
        <f>IF(ISERROR(MATCH(A32,'[1]liste reference'!$A$7:$A$892,0)),IF(ISERROR(MATCH(A32,'[1]liste reference'!$B$7:$B$892,0)),"",(MATCH(A32,'[1]liste reference'!$B$7:$B$892,0))),(MATCH(A32,'[1]liste reference'!$A$7:$A$892,0)))</f>
        <v>256</v>
      </c>
      <c r="AA32" s="226"/>
      <c r="AB32" s="227"/>
      <c r="AC32" s="227"/>
      <c r="BC32" s="8">
        <f t="shared" si="8"/>
        <v>1</v>
      </c>
    </row>
    <row r="33" spans="1:55" ht="12.75">
      <c r="A33" s="228" t="s">
        <v>89</v>
      </c>
      <c r="B33" s="229"/>
      <c r="C33" s="230">
        <v>4.766</v>
      </c>
      <c r="D33" s="231" t="str">
        <f>IF(ISERROR(VLOOKUP($A33,'[1]liste reference'!$A$7:$D$892,2,0)),IF(ISERROR(VLOOKUP($A33,'[1]liste reference'!$B$7:$D$892,1,0)),"",VLOOKUP($A33,'[1]liste reference'!$B$7:$D$892,1,0)),VLOOKUP($A33,'[1]liste reference'!$A$7:$D$892,2,0))</f>
        <v>Myriophyllum spicatum</v>
      </c>
      <c r="E33" s="231" t="e">
        <f>IF(D33="",,VLOOKUP(D33,D$22:D32,1,0))</f>
        <v>#N/A</v>
      </c>
      <c r="F33" s="232">
        <f t="shared" si="1"/>
        <v>4.766</v>
      </c>
      <c r="G33" s="233" t="str">
        <f>IF(A33="","",IF(ISERROR(VLOOKUP($A33,'[1]liste reference'!$A$7:$P$892,13,0)),IF(ISERROR(VLOOKUP($A33,'[1]liste reference'!$B$7:$P$892,12,0)),"    -",VLOOKUP($A33,'[1]liste reference'!$B$7:$P$892,12,0)),VLOOKUP($A33,'[1]liste reference'!$A$7:$P$892,13,0)))</f>
        <v>PHy</v>
      </c>
      <c r="H33" s="215">
        <f>IF(A33="","x",IF(ISERROR(VLOOKUP($A33,'[1]liste reference'!$A$7:$P$892,14,0)),IF(ISERROR(VLOOKUP($A33,'[1]liste reference'!$B$7:$P$892,13,0)),"x",VLOOKUP($A33,'[1]liste reference'!$B$7:$P$892,13,0)),VLOOKUP($A33,'[1]liste reference'!$A$7:$P$892,14,0)))</f>
        <v>7</v>
      </c>
      <c r="I33" s="234">
        <f>IF(ISNUMBER(H33),IF(ISERROR(VLOOKUP($A33,'[1]liste reference'!$A$7:$P$892,3,0)),IF(ISERROR(VLOOKUP($A33,'[1]liste reference'!$B$7:$P$892,2,0)),"",VLOOKUP($A33,'[1]liste reference'!$B$7:$P$892,2,0)),VLOOKUP($A33,'[1]liste reference'!$A$7:$P$892,3,0)),"")</f>
        <v>8</v>
      </c>
      <c r="J33" s="217">
        <f>IF(ISNUMBER(H33),IF(ISERROR(VLOOKUP($A33,'[1]liste reference'!$A$7:$P$892,4,0)),IF(ISERROR(VLOOKUP($A33,'[1]liste reference'!$B$7:$P$892,3,0)),"",VLOOKUP($A33,'[1]liste reference'!$B$7:$P$892,3,0)),VLOOKUP($A33,'[1]liste reference'!$A$7:$P$892,4,0)),"")</f>
        <v>2</v>
      </c>
      <c r="K33" s="218" t="str">
        <f>IF(A33="NEWCOD",IF(AB33="","Remplir le champs 'Nouveau taxa' svp.",$AB33),IF(ISTEXT($E33),"DEJA SAISI !",IF(A33="","",IF(ISERROR(VLOOKUP($A33,'[1]liste reference'!$A$7:$D$892,2,0)),IF(ISERROR(VLOOKUP($A33,'[1]liste reference'!$B$7:$D$892,1,0)),"code non répertorié ou synonyme",VLOOKUP($A33,'[1]liste reference'!$B$7:$D$892,1,0)),VLOOKUP(A33,'[1]liste reference'!$A$7:$D$892,2,0)))))</f>
        <v>Myriophyllum spicatum</v>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v>1778</v>
      </c>
      <c r="Q33" s="221">
        <f t="shared" si="3"/>
        <v>4.766</v>
      </c>
      <c r="R33" s="222">
        <f t="shared" si="4"/>
        <v>3</v>
      </c>
      <c r="S33" s="222">
        <f t="shared" si="5"/>
        <v>24</v>
      </c>
      <c r="T33" s="222">
        <f t="shared" si="6"/>
        <v>48</v>
      </c>
      <c r="U33" s="236">
        <f t="shared" si="7"/>
        <v>6</v>
      </c>
      <c r="V33" s="223">
        <v>6</v>
      </c>
      <c r="W33" s="224" t="s">
        <v>53</v>
      </c>
      <c r="Y33" s="225" t="str">
        <f>IF(A33="new.cod","NEWCOD",IF(AND((Z33=""),ISTEXT(A33)),A33,IF(Z33="","",INDEX('[1]liste reference'!$A$7:$A$892,Z33))))</f>
        <v>MYRSPI</v>
      </c>
      <c r="Z33" s="8">
        <f>IF(ISERROR(MATCH(A33,'[1]liste reference'!$A$7:$A$892,0)),IF(ISERROR(MATCH(A33,'[1]liste reference'!$B$7:$B$892,0)),"",(MATCH(A33,'[1]liste reference'!$B$7:$B$892,0))),(MATCH(A33,'[1]liste reference'!$A$7:$A$892,0)))</f>
        <v>495</v>
      </c>
      <c r="AA33" s="226"/>
      <c r="AB33" s="227"/>
      <c r="AC33" s="227"/>
      <c r="BC33" s="8">
        <f t="shared" si="8"/>
        <v>1</v>
      </c>
    </row>
    <row r="34" spans="1:55" ht="12.75">
      <c r="A34" s="228" t="s">
        <v>90</v>
      </c>
      <c r="B34" s="229"/>
      <c r="C34" s="230">
        <v>0.21159999999999998</v>
      </c>
      <c r="D34" s="231" t="str">
        <f>IF(ISERROR(VLOOKUP($A34,'[1]liste reference'!$A$7:$D$892,2,0)),IF(ISERROR(VLOOKUP($A34,'[1]liste reference'!$B$7:$D$892,1,0)),"",VLOOKUP($A34,'[1]liste reference'!$B$7:$D$892,1,0)),VLOOKUP($A34,'[1]liste reference'!$A$7:$D$892,2,0))</f>
        <v>Ranunculus fluitans</v>
      </c>
      <c r="E34" s="231" t="e">
        <f>IF(D34="",,VLOOKUP(D34,D$22:D33,1,0))</f>
        <v>#N/A</v>
      </c>
      <c r="F34" s="238">
        <f t="shared" si="1"/>
        <v>0.21159999999999995</v>
      </c>
      <c r="G34" s="233" t="str">
        <f>IF(A34="","",IF(ISERROR(VLOOKUP($A34,'[1]liste reference'!$A$7:$P$892,13,0)),IF(ISERROR(VLOOKUP($A34,'[1]liste reference'!$B$7:$P$892,12,0)),"    -",VLOOKUP($A34,'[1]liste reference'!$B$7:$P$892,12,0)),VLOOKUP($A34,'[1]liste reference'!$A$7:$P$892,13,0)))</f>
        <v>PHy</v>
      </c>
      <c r="H34" s="215">
        <f>IF(A34="","x",IF(ISERROR(VLOOKUP($A34,'[1]liste reference'!$A$7:$P$892,14,0)),IF(ISERROR(VLOOKUP($A34,'[1]liste reference'!$B$7:$P$892,13,0)),"x",VLOOKUP($A34,'[1]liste reference'!$B$7:$P$892,13,0)),VLOOKUP($A34,'[1]liste reference'!$A$7:$P$892,14,0)))</f>
        <v>7</v>
      </c>
      <c r="I34" s="234">
        <f>IF(ISNUMBER(H34),IF(ISERROR(VLOOKUP($A34,'[1]liste reference'!$A$7:$P$892,3,0)),IF(ISERROR(VLOOKUP($A34,'[1]liste reference'!$B$7:$P$892,2,0)),"",VLOOKUP($A34,'[1]liste reference'!$B$7:$P$892,2,0)),VLOOKUP($A34,'[1]liste reference'!$A$7:$P$892,3,0)),"")</f>
        <v>10</v>
      </c>
      <c r="J34" s="217">
        <f>IF(ISNUMBER(H34),IF(ISERROR(VLOOKUP($A34,'[1]liste reference'!$A$7:$P$892,4,0)),IF(ISERROR(VLOOKUP($A34,'[1]liste reference'!$B$7:$P$892,3,0)),"",VLOOKUP($A34,'[1]liste reference'!$B$7:$P$892,3,0)),VLOOKUP($A34,'[1]liste reference'!$A$7:$P$892,4,0)),"")</f>
        <v>2</v>
      </c>
      <c r="K34" s="218" t="str">
        <f>IF(A34="NEWCOD",IF(AB34="","Remplir le champs 'Nouveau taxa' svp.",$AB34),IF(ISTEXT($E34),"DEJA SAISI !",IF(A34="","",IF(ISERROR(VLOOKUP($A34,'[1]liste reference'!$A$7:$D$892,2,0)),IF(ISERROR(VLOOKUP($A34,'[1]liste reference'!$B$7:$D$892,1,0)),"code non répertorié ou synonyme",VLOOKUP($A34,'[1]liste reference'!$B$7:$D$892,1,0)),VLOOKUP(A34,'[1]liste reference'!$A$7:$D$892,2,0)))))</f>
        <v>Ranunculus fluitans</v>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v>193</v>
      </c>
      <c r="Q34" s="221">
        <f t="shared" si="3"/>
        <v>0.21159999999999995</v>
      </c>
      <c r="R34" s="222">
        <f t="shared" si="4"/>
        <v>2</v>
      </c>
      <c r="S34" s="222">
        <f t="shared" si="5"/>
        <v>20</v>
      </c>
      <c r="T34" s="222">
        <f t="shared" si="6"/>
        <v>40</v>
      </c>
      <c r="U34" s="236">
        <f t="shared" si="7"/>
        <v>4</v>
      </c>
      <c r="V34" s="223">
        <v>4</v>
      </c>
      <c r="W34" s="224" t="s">
        <v>53</v>
      </c>
      <c r="Y34" s="225" t="str">
        <f>IF(A34="new.cod","NEWCOD",IF(AND((Z34=""),ISTEXT(A34)),A34,IF(Z34="","",INDEX('[1]liste reference'!$A$7:$A$892,Z34))))</f>
        <v>RANFLU</v>
      </c>
      <c r="Z34" s="8">
        <f>IF(ISERROR(MATCH(A34,'[1]liste reference'!$A$7:$A$892,0)),IF(ISERROR(MATCH(A34,'[1]liste reference'!$B$7:$B$892,0)),"",(MATCH(A34,'[1]liste reference'!$B$7:$B$892,0))),(MATCH(A34,'[1]liste reference'!$A$7:$A$892,0)))</f>
        <v>673</v>
      </c>
      <c r="AA34" s="226"/>
      <c r="AB34" s="227"/>
      <c r="AC34" s="227"/>
      <c r="BC34" s="8">
        <f t="shared" si="8"/>
        <v>1</v>
      </c>
    </row>
    <row r="35" spans="1:55" ht="12.75">
      <c r="A35" s="228" t="s">
        <v>91</v>
      </c>
      <c r="B35" s="229"/>
      <c r="C35" s="230">
        <v>0.0016</v>
      </c>
      <c r="D35" s="231" t="str">
        <f>IF(ISERROR(VLOOKUP($A35,'[1]liste reference'!$A$7:$D$892,2,0)),IF(ISERROR(VLOOKUP($A35,'[1]liste reference'!$B$7:$D$892,1,0)),"",VLOOKUP($A35,'[1]liste reference'!$B$7:$D$892,1,0)),VLOOKUP($A35,'[1]liste reference'!$A$7:$D$892,2,0))</f>
        <v>Glyceria fluitans</v>
      </c>
      <c r="E35" s="231" t="e">
        <f>IF(D35="",,VLOOKUP(D35,D$22:D34,1,0))</f>
        <v>#N/A</v>
      </c>
      <c r="F35" s="238">
        <f t="shared" si="1"/>
        <v>0.0016</v>
      </c>
      <c r="G35" s="233" t="str">
        <f>IF(A35="","",IF(ISERROR(VLOOKUP($A35,'[1]liste reference'!$A$7:$P$892,13,0)),IF(ISERROR(VLOOKUP($A35,'[1]liste reference'!$B$7:$P$892,12,0)),"    -",VLOOKUP($A35,'[1]liste reference'!$B$7:$P$892,12,0)),VLOOKUP($A35,'[1]liste reference'!$A$7:$P$892,13,0)))</f>
        <v>PHe</v>
      </c>
      <c r="H35" s="215">
        <f>IF(A35="","x",IF(ISERROR(VLOOKUP($A35,'[1]liste reference'!$A$7:$P$892,14,0)),IF(ISERROR(VLOOKUP($A35,'[1]liste reference'!$B$7:$P$892,13,0)),"x",VLOOKUP($A35,'[1]liste reference'!$B$7:$P$892,13,0)),VLOOKUP($A35,'[1]liste reference'!$A$7:$P$892,14,0)))</f>
        <v>8</v>
      </c>
      <c r="I35" s="234">
        <f>IF(ISNUMBER(H35),IF(ISERROR(VLOOKUP($A35,'[1]liste reference'!$A$7:$P$892,3,0)),IF(ISERROR(VLOOKUP($A35,'[1]liste reference'!$B$7:$P$892,2,0)),"",VLOOKUP($A35,'[1]liste reference'!$B$7:$P$892,2,0)),VLOOKUP($A35,'[1]liste reference'!$A$7:$P$892,3,0)),"")</f>
        <v>14</v>
      </c>
      <c r="J35" s="217">
        <f>IF(ISNUMBER(H35),IF(ISERROR(VLOOKUP($A35,'[1]liste reference'!$A$7:$P$892,4,0)),IF(ISERROR(VLOOKUP($A35,'[1]liste reference'!$B$7:$P$892,3,0)),"",VLOOKUP($A35,'[1]liste reference'!$B$7:$P$892,3,0)),VLOOKUP($A35,'[1]liste reference'!$A$7:$P$892,4,0)),"")</f>
        <v>2</v>
      </c>
      <c r="K35" s="218" t="str">
        <f>IF(A35="NEWCOD",IF(AB35="","Remplir le champs 'Nouveau taxa' svp.",$AB35),IF(ISTEXT($E35),"DEJA SAISI !",IF(A35="","",IF(ISERROR(VLOOKUP($A35,'[1]liste reference'!$A$7:$D$892,2,0)),IF(ISERROR(VLOOKUP($A35,'[1]liste reference'!$B$7:$D$892,1,0)),"code non répertorié ou synonyme",VLOOKUP($A35,'[1]liste reference'!$B$7:$D$892,1,0)),VLOOKUP(A35,'[1]liste reference'!$A$7:$D$892,2,0)))))</f>
        <v>Glyceria fluitans</v>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v>1564</v>
      </c>
      <c r="Q35" s="221">
        <f t="shared" si="3"/>
        <v>0.0016</v>
      </c>
      <c r="R35" s="222">
        <f t="shared" si="4"/>
        <v>1</v>
      </c>
      <c r="S35" s="222">
        <f t="shared" si="5"/>
        <v>14</v>
      </c>
      <c r="T35" s="222">
        <f t="shared" si="6"/>
        <v>28</v>
      </c>
      <c r="U35" s="236">
        <f t="shared" si="7"/>
        <v>2</v>
      </c>
      <c r="V35" s="223">
        <v>2</v>
      </c>
      <c r="W35" s="224" t="s">
        <v>53</v>
      </c>
      <c r="Y35" s="225" t="str">
        <f>IF(A35="new.cod","NEWCOD",IF(AND((Z35=""),ISTEXT(A35)),A35,IF(Z35="","",INDEX('[1]liste reference'!$A$7:$A$892,Z35))))</f>
        <v>GLYFLU</v>
      </c>
      <c r="Z35" s="8">
        <f>IF(ISERROR(MATCH(A35,'[1]liste reference'!$A$7:$A$892,0)),IF(ISERROR(MATCH(A35,'[1]liste reference'!$B$7:$B$892,0)),"",(MATCH(A35,'[1]liste reference'!$B$7:$B$892,0))),(MATCH(A35,'[1]liste reference'!$A$7:$A$892,0)))</f>
        <v>320</v>
      </c>
      <c r="AA35" s="226"/>
      <c r="AB35" s="227"/>
      <c r="AC35" s="227"/>
      <c r="BC35" s="8">
        <f t="shared" si="8"/>
        <v>1</v>
      </c>
    </row>
    <row r="36" spans="1:55" ht="12.75">
      <c r="A36" s="228" t="s">
        <v>92</v>
      </c>
      <c r="B36" s="229"/>
      <c r="C36" s="230">
        <v>0.0016</v>
      </c>
      <c r="D36" s="231" t="str">
        <f>IF(ISERROR(VLOOKUP($A36,'[1]liste reference'!$A$7:$D$892,2,0)),IF(ISERROR(VLOOKUP($A36,'[1]liste reference'!$B$7:$D$892,1,0)),"",VLOOKUP($A36,'[1]liste reference'!$B$7:$D$892,1,0)),VLOOKUP($A36,'[1]liste reference'!$A$7:$D$892,2,0))</f>
        <v>Phalaris arundinacea</v>
      </c>
      <c r="E36" s="231" t="e">
        <f>IF(D36="",,VLOOKUP(D36,D$22:D35,1,0))</f>
        <v>#N/A</v>
      </c>
      <c r="F36" s="238">
        <f t="shared" si="1"/>
        <v>0.0016</v>
      </c>
      <c r="G36" s="233" t="str">
        <f>IF(A36="","",IF(ISERROR(VLOOKUP($A36,'[1]liste reference'!$A$7:$P$892,13,0)),IF(ISERROR(VLOOKUP($A36,'[1]liste reference'!$B$7:$P$892,12,0)),"    -",VLOOKUP($A36,'[1]liste reference'!$B$7:$P$892,12,0)),VLOOKUP($A36,'[1]liste reference'!$A$7:$P$892,13,0)))</f>
        <v>PHe</v>
      </c>
      <c r="H36" s="215">
        <f>IF(A36="","x",IF(ISERROR(VLOOKUP($A36,'[1]liste reference'!$A$7:$P$892,14,0)),IF(ISERROR(VLOOKUP($A36,'[1]liste reference'!$B$7:$P$892,13,0)),"x",VLOOKUP($A36,'[1]liste reference'!$B$7:$P$892,13,0)),VLOOKUP($A36,'[1]liste reference'!$A$7:$P$892,14,0)))</f>
        <v>8</v>
      </c>
      <c r="I36" s="234">
        <f>IF(ISNUMBER(H36),IF(ISERROR(VLOOKUP($A36,'[1]liste reference'!$A$7:$P$892,3,0)),IF(ISERROR(VLOOKUP($A36,'[1]liste reference'!$B$7:$P$892,2,0)),"",VLOOKUP($A36,'[1]liste reference'!$B$7:$P$892,2,0)),VLOOKUP($A36,'[1]liste reference'!$A$7:$P$892,3,0)),"")</f>
        <v>10</v>
      </c>
      <c r="J36" s="217">
        <f>IF(ISNUMBER(H36),IF(ISERROR(VLOOKUP($A36,'[1]liste reference'!$A$7:$P$892,4,0)),IF(ISERROR(VLOOKUP($A36,'[1]liste reference'!$B$7:$P$892,3,0)),"",VLOOKUP($A36,'[1]liste reference'!$B$7:$P$892,3,0)),VLOOKUP($A36,'[1]liste reference'!$A$7:$P$892,4,0)),"")</f>
        <v>1</v>
      </c>
      <c r="K36" s="218" t="str">
        <f>IF(A36="NEWCOD",IF(AB36="","Remplir le champs 'Nouveau taxa' svp.",$AB36),IF(ISTEXT($E36),"DEJA SAISI !",IF(A36="","",IF(ISERROR(VLOOKUP($A36,'[1]liste reference'!$A$7:$D$892,2,0)),IF(ISERROR(VLOOKUP($A36,'[1]liste reference'!$B$7:$D$892,1,0)),"code non répertorié ou synonyme",VLOOKUP($A36,'[1]liste reference'!$B$7:$D$892,1,0)),VLOOKUP(A36,'[1]liste reference'!$A$7:$D$892,2,0)))))</f>
        <v>Phalaris arundinacea</v>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v>1577</v>
      </c>
      <c r="Q36" s="221">
        <f t="shared" si="3"/>
        <v>0.0016</v>
      </c>
      <c r="R36" s="222">
        <f t="shared" si="4"/>
        <v>1</v>
      </c>
      <c r="S36" s="222">
        <f t="shared" si="5"/>
        <v>10</v>
      </c>
      <c r="T36" s="222">
        <f t="shared" si="6"/>
        <v>10</v>
      </c>
      <c r="U36" s="236">
        <f t="shared" si="7"/>
        <v>1</v>
      </c>
      <c r="V36" s="223">
        <v>1</v>
      </c>
      <c r="W36" s="224" t="s">
        <v>53</v>
      </c>
      <c r="Y36" s="225" t="str">
        <f>IF(A36="new.cod","NEWCOD",IF(AND((Z36=""),ISTEXT(A36)),A36,IF(Z36="","",INDEX('[1]liste reference'!$A$7:$A$892,Z36))))</f>
        <v>PHAARU</v>
      </c>
      <c r="Z36" s="8">
        <f>IF(ISERROR(MATCH(A36,'[1]liste reference'!$A$7:$A$892,0)),IF(ISERROR(MATCH(A36,'[1]liste reference'!$B$7:$B$892,0)),"",(MATCH(A36,'[1]liste reference'!$B$7:$B$892,0))),(MATCH(A36,'[1]liste reference'!$A$7:$A$892,0)))</f>
        <v>565</v>
      </c>
      <c r="AA36" s="226"/>
      <c r="AB36" s="227"/>
      <c r="AC36" s="227"/>
      <c r="BC36" s="8">
        <f t="shared" si="8"/>
        <v>1</v>
      </c>
    </row>
    <row r="37" spans="1:55" ht="12.75">
      <c r="A37" s="228" t="s">
        <v>93</v>
      </c>
      <c r="B37" s="229"/>
      <c r="C37" s="230">
        <v>0.0016</v>
      </c>
      <c r="D37" s="231" t="str">
        <f>IF(ISERROR(VLOOKUP($A37,'[1]liste reference'!$A$7:$D$892,2,0)),IF(ISERROR(VLOOKUP($A37,'[1]liste reference'!$B$7:$D$892,1,0)),"",VLOOKUP($A37,'[1]liste reference'!$B$7:$D$892,1,0)),VLOOKUP($A37,'[1]liste reference'!$A$7:$D$892,2,0))</f>
        <v>Veronica anagallis-aquatica</v>
      </c>
      <c r="E37" s="231" t="e">
        <f>IF(D37="",,VLOOKUP(D37,D$22:D36,1,0))</f>
        <v>#N/A</v>
      </c>
      <c r="F37" s="238">
        <f t="shared" si="1"/>
        <v>0.0016</v>
      </c>
      <c r="G37" s="233" t="str">
        <f>IF(A37="","",IF(ISERROR(VLOOKUP($A37,'[1]liste reference'!$A$7:$P$892,13,0)),IF(ISERROR(VLOOKUP($A37,'[1]liste reference'!$B$7:$P$892,12,0)),"    -",VLOOKUP($A37,'[1]liste reference'!$B$7:$P$892,12,0)),VLOOKUP($A37,'[1]liste reference'!$A$7:$P$892,13,0)))</f>
        <v>PHe</v>
      </c>
      <c r="H37" s="215">
        <f>IF(A37="","x",IF(ISERROR(VLOOKUP($A37,'[1]liste reference'!$A$7:$P$892,14,0)),IF(ISERROR(VLOOKUP($A37,'[1]liste reference'!$B$7:$P$892,13,0)),"x",VLOOKUP($A37,'[1]liste reference'!$B$7:$P$892,13,0)),VLOOKUP($A37,'[1]liste reference'!$A$7:$P$892,14,0)))</f>
        <v>8</v>
      </c>
      <c r="I37" s="234">
        <f>IF(ISNUMBER(H37),IF(ISERROR(VLOOKUP($A37,'[1]liste reference'!$A$7:$P$892,3,0)),IF(ISERROR(VLOOKUP($A37,'[1]liste reference'!$B$7:$P$892,2,0)),"",VLOOKUP($A37,'[1]liste reference'!$B$7:$P$892,2,0)),VLOOKUP($A37,'[1]liste reference'!$A$7:$P$892,3,0)),"")</f>
        <v>11</v>
      </c>
      <c r="J37" s="217">
        <f>IF(ISNUMBER(H37),IF(ISERROR(VLOOKUP($A37,'[1]liste reference'!$A$7:$P$892,4,0)),IF(ISERROR(VLOOKUP($A37,'[1]liste reference'!$B$7:$P$892,3,0)),"",VLOOKUP($A37,'[1]liste reference'!$B$7:$P$892,3,0)),VLOOKUP($A37,'[1]liste reference'!$A$7:$P$892,4,0)),"")</f>
        <v>2</v>
      </c>
      <c r="K37" s="218" t="str">
        <f>IF(A37="NEWCOD",IF(AB37="","Remplir le champs 'Nouveau taxa' svp.",$AB37),IF(ISTEXT($E37),"DEJA SAISI !",IF(A37="","",IF(ISERROR(VLOOKUP($A37,'[1]liste reference'!$A$7:$D$892,2,0)),IF(ISERROR(VLOOKUP($A37,'[1]liste reference'!$B$7:$D$892,1,0)),"code non répertorié ou synonyme",VLOOKUP($A37,'[1]liste reference'!$B$7:$D$892,1,0)),VLOOKUP(A37,'[1]liste reference'!$A$7:$D$892,2,0)))))</f>
        <v>Veronica anagallis-aquatica</v>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v>1955</v>
      </c>
      <c r="Q37" s="221">
        <f t="shared" si="3"/>
        <v>0.0016</v>
      </c>
      <c r="R37" s="222">
        <f t="shared" si="4"/>
        <v>1</v>
      </c>
      <c r="S37" s="222">
        <f t="shared" si="5"/>
        <v>11</v>
      </c>
      <c r="T37" s="222">
        <f t="shared" si="6"/>
        <v>22</v>
      </c>
      <c r="U37" s="236">
        <f t="shared" si="7"/>
        <v>2</v>
      </c>
      <c r="V37" s="223">
        <v>2</v>
      </c>
      <c r="W37" s="224" t="s">
        <v>53</v>
      </c>
      <c r="Y37" s="225" t="str">
        <f>IF(A37="new.cod","NEWCOD",IF(AND((Z37=""),ISTEXT(A37)),A37,IF(Z37="","",INDEX('[1]liste reference'!$A$7:$A$892,Z37))))</f>
        <v>VERANA</v>
      </c>
      <c r="Z37" s="8">
        <f>IF(ISERROR(MATCH(A37,'[1]liste reference'!$A$7:$A$892,0)),IF(ISERROR(MATCH(A37,'[1]liste reference'!$B$7:$B$892,0)),"",(MATCH(A37,'[1]liste reference'!$B$7:$B$892,0))),(MATCH(A37,'[1]liste reference'!$A$7:$A$892,0)))</f>
        <v>865</v>
      </c>
      <c r="AA37" s="226"/>
      <c r="AB37" s="227"/>
      <c r="AC37" s="227"/>
      <c r="BC37" s="8">
        <f t="shared" si="8"/>
        <v>1</v>
      </c>
    </row>
    <row r="38" spans="1:55" ht="12.75">
      <c r="A38" s="228" t="s">
        <v>94</v>
      </c>
      <c r="B38" s="229"/>
      <c r="C38" s="230">
        <v>0.0016</v>
      </c>
      <c r="D38" s="231" t="str">
        <f>IF(ISERROR(VLOOKUP($A38,'[1]liste reference'!$A$7:$D$892,2,0)),IF(ISERROR(VLOOKUP($A38,'[1]liste reference'!$B$7:$D$892,1,0)),"",VLOOKUP($A38,'[1]liste reference'!$B$7:$D$892,1,0)),VLOOKUP($A38,'[1]liste reference'!$A$7:$D$892,2,0))</f>
        <v>Polygonum sp.</v>
      </c>
      <c r="E38" s="231" t="e">
        <f>IF(D38="",,VLOOKUP(D38,D$22:D37,1,0))</f>
        <v>#N/A</v>
      </c>
      <c r="F38" s="238">
        <f t="shared" si="1"/>
        <v>0.0016</v>
      </c>
      <c r="G38" s="233" t="str">
        <f>IF(A38="","",IF(ISERROR(VLOOKUP($A38,'[1]liste reference'!$A$7:$P$892,13,0)),IF(ISERROR(VLOOKUP($A38,'[1]liste reference'!$B$7:$P$892,12,0)),"    -",VLOOKUP($A38,'[1]liste reference'!$B$7:$P$892,12,0)),VLOOKUP($A38,'[1]liste reference'!$A$7:$P$892,13,0)))</f>
        <v>PHg</v>
      </c>
      <c r="H38" s="215">
        <f>IF(A38="","x",IF(ISERROR(VLOOKUP($A38,'[1]liste reference'!$A$7:$P$892,14,0)),IF(ISERROR(VLOOKUP($A38,'[1]liste reference'!$B$7:$P$892,13,0)),"x",VLOOKUP($A38,'[1]liste reference'!$B$7:$P$892,13,0)),VLOOKUP($A38,'[1]liste reference'!$A$7:$P$892,14,0)))</f>
        <v>9</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t="str">
        <f>IF(A38="NEWCOD",IF(AB38="","Remplir le champs 'Nouveau taxa' svp.",$AB38),IF(ISTEXT($E38),"DEJA SAISI !",IF(A38="","",IF(ISERROR(VLOOKUP($A38,'[1]liste reference'!$A$7:$D$892,2,0)),IF(ISERROR(VLOOKUP($A38,'[1]liste reference'!$B$7:$D$892,1,0)),"code non répertorié ou synonyme",VLOOKUP($A38,'[1]liste reference'!$B$7:$D$892,1,0)),VLOOKUP(A38,'[1]liste reference'!$A$7:$D$892,2,0)))))</f>
        <v>Polygonum sp.</v>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v>1863</v>
      </c>
      <c r="Q38" s="221">
        <f t="shared" si="3"/>
        <v>0.0016</v>
      </c>
      <c r="R38" s="222">
        <f t="shared" si="4"/>
        <v>1</v>
      </c>
      <c r="S38" s="222">
        <f t="shared" si="5"/>
        <v>0</v>
      </c>
      <c r="T38" s="222">
        <f t="shared" si="6"/>
        <v>0</v>
      </c>
      <c r="U38" s="236">
        <f t="shared" si="7"/>
        <v>0</v>
      </c>
      <c r="V38" s="223">
        <v>0</v>
      </c>
      <c r="W38" s="224" t="s">
        <v>53</v>
      </c>
      <c r="Y38" s="225" t="str">
        <f>IF(A38="new.cod","NEWCOD",IF(AND((Z38=""),ISTEXT(A38)),A38,IF(Z38="","",INDEX('[1]liste reference'!$A$7:$A$892,Z38))))</f>
        <v>POLSPX</v>
      </c>
      <c r="Z38" s="8">
        <f>IF(ISERROR(MATCH(A38,'[1]liste reference'!$A$7:$A$892,0)),IF(ISERROR(MATCH(A38,'[1]liste reference'!$B$7:$B$892,0)),"",(MATCH(A38,'[1]liste reference'!$B$7:$B$892,0))),(MATCH(A38,'[1]liste reference'!$A$7:$A$892,0)))</f>
        <v>604</v>
      </c>
      <c r="AA38" s="226"/>
      <c r="AB38" s="227"/>
      <c r="AC38" s="227"/>
      <c r="BC38" s="8">
        <f t="shared" si="8"/>
        <v>1</v>
      </c>
    </row>
    <row r="39" spans="1:55" ht="12.75">
      <c r="A39" s="228" t="s">
        <v>95</v>
      </c>
      <c r="B39" s="229"/>
      <c r="C39" s="230">
        <v>0.0016</v>
      </c>
      <c r="D39" s="231" t="str">
        <f>IF(ISERROR(VLOOKUP($A39,'[1]liste reference'!$A$7:$D$892,2,0)),IF(ISERROR(VLOOKUP($A39,'[1]liste reference'!$B$7:$D$892,1,0)),"",VLOOKUP($A39,'[1]liste reference'!$B$7:$D$892,1,0)),VLOOKUP($A39,'[1]liste reference'!$A$7:$D$892,2,0))</f>
        <v>Rorippa islandica</v>
      </c>
      <c r="E39" s="231" t="e">
        <f>IF(D39="",,VLOOKUP(D39,D$22:D38,1,0))</f>
        <v>#N/A</v>
      </c>
      <c r="F39" s="238">
        <f t="shared" si="1"/>
        <v>0.0016</v>
      </c>
      <c r="G39" s="233" t="str">
        <f>IF(A39="","",IF(ISERROR(VLOOKUP($A39,'[1]liste reference'!$A$7:$P$892,13,0)),IF(ISERROR(VLOOKUP($A39,'[1]liste reference'!$B$7:$P$892,12,0)),"    -",VLOOKUP($A39,'[1]liste reference'!$B$7:$P$892,12,0)),VLOOKUP($A39,'[1]liste reference'!$A$7:$P$892,13,0)))</f>
        <v>PHg</v>
      </c>
      <c r="H39" s="215">
        <f>IF(A39="","x",IF(ISERROR(VLOOKUP($A39,'[1]liste reference'!$A$7:$P$892,14,0)),IF(ISERROR(VLOOKUP($A39,'[1]liste reference'!$B$7:$P$892,13,0)),"x",VLOOKUP($A39,'[1]liste reference'!$B$7:$P$892,13,0)),VLOOKUP($A39,'[1]liste reference'!$A$7:$P$892,14,0)))</f>
        <v>9</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t="str">
        <f>IF(A39="NEWCOD",IF(AB39="","Remplir le champs 'Nouveau taxa' svp.",$AB39),IF(ISTEXT($E39),"DEJA SAISI !",IF(A39="","",IF(ISERROR(VLOOKUP($A39,'[1]liste reference'!$A$7:$D$892,2,0)),IF(ISERROR(VLOOKUP($A39,'[1]liste reference'!$B$7:$D$892,1,0)),"code non répertorié ou synonyme",VLOOKUP($A39,'[1]liste reference'!$B$7:$D$892,1,0)),VLOOKUP(A39,'[1]liste reference'!$A$7:$D$892,2,0)))))</f>
        <v>Rorippa islandica</v>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v>1766</v>
      </c>
      <c r="Q39" s="221">
        <f t="shared" si="3"/>
        <v>0.0016</v>
      </c>
      <c r="R39" s="222">
        <f t="shared" si="4"/>
        <v>1</v>
      </c>
      <c r="S39" s="222">
        <f t="shared" si="5"/>
        <v>0</v>
      </c>
      <c r="T39" s="222">
        <f t="shared" si="6"/>
        <v>0</v>
      </c>
      <c r="U39" s="236">
        <f t="shared" si="7"/>
        <v>0</v>
      </c>
      <c r="V39" s="223">
        <v>0</v>
      </c>
      <c r="W39" s="224" t="s">
        <v>53</v>
      </c>
      <c r="Y39" s="225" t="str">
        <f>IF(A39="new.cod","NEWCOD",IF(AND((Z39=""),ISTEXT(A39)),A39,IF(Z39="","",INDEX('[1]liste reference'!$A$7:$A$892,Z39))))</f>
        <v>RORISL</v>
      </c>
      <c r="Z39" s="8">
        <f>IF(ISERROR(MATCH(A39,'[1]liste reference'!$A$7:$A$892,0)),IF(ISERROR(MATCH(A39,'[1]liste reference'!$B$7:$B$892,0)),"",(MATCH(A39,'[1]liste reference'!$B$7:$B$892,0))),(MATCH(A39,'[1]liste reference'!$A$7:$A$892,0)))</f>
        <v>724</v>
      </c>
      <c r="AA39" s="226"/>
      <c r="AB39" s="227"/>
      <c r="AC39" s="227"/>
      <c r="BC39" s="8">
        <f t="shared" si="8"/>
        <v>1</v>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96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RHONE</v>
      </c>
      <c r="B84" s="259" t="str">
        <f>C3</f>
        <v>RUFFIEUX</v>
      </c>
      <c r="C84" s="260">
        <f>A4</f>
        <v>41173</v>
      </c>
      <c r="D84" s="261">
        <f>IF(ISERROR(SUM($T$23:$T$82)/SUM($U$23:$U$82)),"",SUM($T$23:$T$82)/SUM($U$23:$U$82))</f>
        <v>9.628571428571428</v>
      </c>
      <c r="E84" s="262">
        <f>N13</f>
        <v>17</v>
      </c>
      <c r="F84" s="259">
        <f>N14</f>
        <v>15</v>
      </c>
      <c r="G84" s="259">
        <f>N15</f>
        <v>6</v>
      </c>
      <c r="H84" s="259">
        <f>N16</f>
        <v>9</v>
      </c>
      <c r="I84" s="259">
        <f>N17</f>
        <v>0</v>
      </c>
      <c r="J84" s="263">
        <f>N8</f>
        <v>9.666666666666666</v>
      </c>
      <c r="K84" s="261">
        <f>N9</f>
        <v>2.7945525240230866</v>
      </c>
      <c r="L84" s="262">
        <f>N10</f>
        <v>4</v>
      </c>
      <c r="M84" s="262">
        <f>N11</f>
        <v>14</v>
      </c>
      <c r="N84" s="261">
        <f>O8</f>
        <v>1.6</v>
      </c>
      <c r="O84" s="261">
        <f>O9</f>
        <v>0.5070925528371101</v>
      </c>
      <c r="P84" s="262">
        <f>O10</f>
        <v>1</v>
      </c>
      <c r="Q84" s="262">
        <f>O11</f>
        <v>2</v>
      </c>
      <c r="R84" s="262">
        <f>F21</f>
        <v>7.509359999999999</v>
      </c>
      <c r="S84" s="262">
        <f>K11</f>
        <v>0</v>
      </c>
      <c r="T84" s="262">
        <f>K12</f>
        <v>8</v>
      </c>
      <c r="U84" s="262">
        <f>K13</f>
        <v>1</v>
      </c>
      <c r="V84" s="264">
        <f>K14</f>
        <v>0</v>
      </c>
      <c r="W84" s="265">
        <f>K15</f>
        <v>8</v>
      </c>
      <c r="Z84" s="266"/>
      <c r="AA84" s="266"/>
      <c r="AB84" s="257"/>
      <c r="AC84" s="257"/>
      <c r="AD84" s="257"/>
    </row>
    <row r="85" spans="16:22" ht="12.75" hidden="1">
      <c r="P85" s="8"/>
      <c r="Q85" s="8"/>
      <c r="R85" s="8"/>
      <c r="S85" s="8"/>
      <c r="T85" s="8"/>
      <c r="U85" s="8"/>
      <c r="V85" s="8"/>
    </row>
    <row r="86" spans="16:22" ht="12.75" hidden="1">
      <c r="P86" s="8"/>
      <c r="Q86" s="267" t="s">
        <v>97</v>
      </c>
      <c r="R86" s="8"/>
      <c r="S86" s="223"/>
      <c r="T86" s="8"/>
      <c r="U86" s="8"/>
      <c r="V86" s="8"/>
    </row>
    <row r="87" spans="16:22" ht="12.75" hidden="1">
      <c r="P87" s="8"/>
      <c r="Q87" s="8" t="s">
        <v>98</v>
      </c>
      <c r="R87" s="8"/>
      <c r="S87" s="223">
        <f>VLOOKUP(MAX($S$23:$S$82),($S$23:$U$82),1,0)</f>
        <v>26</v>
      </c>
      <c r="T87" s="8"/>
      <c r="U87" s="8"/>
      <c r="V87" s="8"/>
    </row>
    <row r="88" spans="16:22" ht="12.75" hidden="1">
      <c r="P88" s="8"/>
      <c r="Q88" s="8" t="s">
        <v>99</v>
      </c>
      <c r="R88" s="8"/>
      <c r="S88" s="223">
        <f>VLOOKUP((S87),($S$23:$U$82),2,0)</f>
        <v>52</v>
      </c>
      <c r="T88" s="8"/>
      <c r="U88" s="8"/>
      <c r="V88" s="8"/>
    </row>
    <row r="89" spans="17:20" ht="12.75">
      <c r="Q89" s="8" t="s">
        <v>100</v>
      </c>
      <c r="R89" s="8"/>
      <c r="S89" s="223">
        <f>VLOOKUP((S87),($S$23:$U$82),3,0)</f>
        <v>4</v>
      </c>
      <c r="T89" s="8"/>
    </row>
    <row r="90" spans="17:20" ht="12.75">
      <c r="Q90" s="8" t="s">
        <v>101</v>
      </c>
      <c r="R90" s="8"/>
      <c r="S90" s="268">
        <f>IF(ISERROR(SUM($T$23:$T$82)/SUM($U$23:$U$82)),"",(SUM($T$23:$T$82)-S88)/(SUM($U$23:$U$82)-S89))</f>
        <v>9.193548387096774</v>
      </c>
      <c r="T90" s="8"/>
    </row>
    <row r="91" spans="17:21" ht="12.75">
      <c r="Q91" s="222" t="s">
        <v>102</v>
      </c>
      <c r="R91" s="222"/>
      <c r="S91" s="222" t="str">
        <f>INDEX('[1]liste reference'!$A$7:$A$892,$T$91)</f>
        <v>PHOSPX</v>
      </c>
      <c r="T91" s="8">
        <f>IF(ISERROR(MATCH($S$93,'[1]liste reference'!$A$7:$A$892,0)),MATCH($S$93,'[1]liste reference'!$B$7:$B$892,0),(MATCH($S$93,'[1]liste reference'!$A$7:$A$892,0)))</f>
        <v>570</v>
      </c>
      <c r="U91" s="257"/>
    </row>
    <row r="92" spans="17:20" ht="12.75">
      <c r="Q92" s="8" t="s">
        <v>103</v>
      </c>
      <c r="R92" s="8"/>
      <c r="S92" s="8">
        <f>MATCH(S87,$S$23:$S$82,0)</f>
        <v>5</v>
      </c>
      <c r="T92" s="8"/>
    </row>
    <row r="93" spans="17:20" ht="12.75">
      <c r="Q93" s="222" t="s">
        <v>104</v>
      </c>
      <c r="R93" s="8"/>
      <c r="S93" s="222" t="str">
        <f>INDEX($A$23:$A$82,$S$92)</f>
        <v>PHOSPX</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'/tmp/tmp6yy5h_hx\[12001_RHORU_21-09-12_IBMR_LF.xls]liste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 ENVIRONNEMENT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dc:creator>
  <cp:keywords/>
  <dc:description/>
  <cp:lastModifiedBy>li</cp:lastModifiedBy>
  <dcterms:created xsi:type="dcterms:W3CDTF">2013-01-28T11:30:17Z</dcterms:created>
  <dcterms:modified xsi:type="dcterms:W3CDTF">2013-01-28T11:30:19Z</dcterms:modified>
  <cp:category/>
  <cp:version/>
  <cp:contentType/>
  <cp:contentStatus/>
</cp:coreProperties>
</file>