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<sst xmlns="http://schemas.openxmlformats.org/spreadsheetml/2006/main" count="219" uniqueCount="103">
  <si>
    <t>Relevés floristiques aquatiques - IBMR</t>
  </si>
  <si>
    <t xml:space="preserve">Formulaire modèle GIS Macrophytes v 3.3 - novembre 2013  </t>
  </si>
  <si>
    <t>SAGE</t>
  </si>
  <si>
    <t>P.BELLY L.ISEBE</t>
  </si>
  <si>
    <t>conforme AFNOR T90-395 oct. 2003</t>
  </si>
  <si>
    <t>Rhône</t>
  </si>
  <si>
    <t>Rhône à Ruffieux</t>
  </si>
  <si>
    <t>06072400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</si>
  <si>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</si>
  <si>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</si>
  <si>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</si>
  <si>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</si>
  <si>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</si>
  <si>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</si>
  <si>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</si>
  <si>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</si>
  <si>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</si>
  <si>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</si>
  <si>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 xml:space="preserve">chenal lotique </t>
  </si>
  <si>
    <t>plat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</si>
  <si>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</si>
  <si>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</si>
  <si>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</si>
  <si>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</si>
  <si>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</si>
  <si>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</si>
  <si>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</si>
  <si>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</si>
  <si>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</si>
  <si>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</si>
  <si>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</si>
  <si>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</si>
  <si>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</si>
  <si>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</si>
  <si>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</si>
  <si>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</si>
  <si>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</si>
  <si>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</si>
  <si>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</si>
  <si>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</si>
  <si>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</si>
  <si>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</si>
  <si>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</si>
  <si>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</si>
  <si>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</si>
  <si>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</si>
  <si>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</si>
  <si>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</si>
  <si>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</si>
  <si>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</si>
  <si>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</si>
  <si>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</si>
  <si>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</si>
  <si>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</si>
  <si>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</si>
  <si>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</si>
  <si>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</si>
  <si>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</si>
  <si>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</si>
  <si>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</si>
  <si>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</si>
  <si>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</si>
  <si>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</si>
  <si>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</si>
  <si>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</si>
  <si>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</si>
  <si>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</si>
  <si>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</si>
  <si>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</si>
  <si>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</si>
  <si>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</si>
  <si>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</si>
  <si>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</si>
  <si>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</si>
  <si>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</si>
  <si>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</si>
  <si>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</si>
  <si>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</si>
  <si>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</si>
  <si>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</si>
  <si>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HYISPX</t>
  </si>
  <si>
    <t>PHOSPX</t>
  </si>
  <si>
    <t>ULOSPX</t>
  </si>
  <si>
    <t>VAUSPX</t>
  </si>
  <si>
    <t>CINRIP</t>
  </si>
  <si>
    <t>EGEDEN</t>
  </si>
  <si>
    <t>ELONUT</t>
  </si>
  <si>
    <t>MYRSPI</t>
  </si>
  <si>
    <t>GLYFLU</t>
  </si>
  <si>
    <t>PHAARU</t>
  </si>
  <si>
    <t>PHRAUS</t>
  </si>
  <si>
    <t>REYJAP</t>
  </si>
  <si>
    <t>RORSPX</t>
  </si>
  <si>
    <t>POLSPX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</si>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</sst>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RU_05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41887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9.25</v>
      </c>
      <c r="M5" s="52"/>
      <c r="N5" s="53" t="s">
        <v>16</v>
      </c>
      <c r="O5" s="54">
        <v>9.076923076923077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55</v>
      </c>
      <c r="C7" s="66">
        <v>45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9.25</v>
      </c>
      <c r="O8" s="84">
        <f>IF(ISERROR(AVERAGE(J23:J82)),"      -",AVERAGE(J23:J82))</f>
        <v>1.6666666666666667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1.16</v>
      </c>
      <c r="C9" s="87">
        <v>15.3</v>
      </c>
      <c r="D9" s="88"/>
      <c r="E9" s="88"/>
      <c r="F9" s="89">
        <f>($B9*$B$7+$C9*$C$7)/100</f>
        <v>7.523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2.947456530637899</v>
      </c>
      <c r="O9" s="84">
        <f>IF(ISERROR(STDEVP(J23:J82)),"      -",STDEVP(J23:J82))</f>
        <v>0.4714045207910317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14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/>
      <c r="C12" s="120">
        <v>0.2</v>
      </c>
      <c r="D12" s="111"/>
      <c r="E12" s="111"/>
      <c r="F12" s="112">
        <f>($B12*$B$7+$C12*$C$7)/100</f>
        <v>0.09</v>
      </c>
      <c r="G12" s="121"/>
      <c r="H12" s="67"/>
      <c r="I12" s="122" t="s">
        <v>39</v>
      </c>
      <c r="J12" s="123"/>
      <c r="K12" s="116">
        <f>COUNTIF($G$23:$G$82,"=ALG")</f>
        <v>5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>
        <v>0.09</v>
      </c>
      <c r="D13" s="111"/>
      <c r="E13" s="111"/>
      <c r="F13" s="112">
        <f>($B13*$B$7+$C13*$C$7)/100</f>
        <v>0.0405</v>
      </c>
      <c r="G13" s="121"/>
      <c r="H13" s="67"/>
      <c r="I13" s="129" t="s">
        <v>41</v>
      </c>
      <c r="J13" s="123"/>
      <c r="K13" s="116">
        <f>COUNTIF($G$23:$G$82,"=BRm")+COUNTIF($G$23:$G$82,"=BRh")</f>
        <v>1</v>
      </c>
      <c r="L13" s="117"/>
      <c r="M13" s="130" t="s">
        <v>42</v>
      </c>
      <c r="N13" s="131">
        <f>COUNTIF(F23:F82,"&gt;0")</f>
        <v>16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12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1.16</v>
      </c>
      <c r="C15" s="139">
        <v>15.01</v>
      </c>
      <c r="D15" s="111"/>
      <c r="E15" s="111"/>
      <c r="F15" s="112">
        <f>($B15*$B$7+$C15*$C$7)/100</f>
        <v>7.3925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10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8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1.16</v>
      </c>
      <c r="C17" s="120">
        <v>15.27</v>
      </c>
      <c r="D17" s="111"/>
      <c r="E17" s="111"/>
      <c r="F17" s="147"/>
      <c r="G17" s="112">
        <f>($B17*$B$7+$C17*$C$7)/100</f>
        <v>7.509499999999999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0.03</v>
      </c>
      <c r="D18" s="111"/>
      <c r="E18" s="152" t="s">
        <v>54</v>
      </c>
      <c r="F18" s="147"/>
      <c r="G18" s="112">
        <f>($B18*$B$7+$C18*$C$7)/100</f>
        <v>0.013499999999999998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7.523</v>
      </c>
      <c r="G19" s="161">
        <f>SUM(G16:G18)</f>
        <v>7.522999999999999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1.1594202898550725</v>
      </c>
      <c r="C20" s="171">
        <f>SUM(C23:C82)</f>
        <v>15.30252825129286</v>
      </c>
      <c r="D20" s="172"/>
      <c r="E20" s="173" t="s">
        <v>54</v>
      </c>
      <c r="F20" s="174">
        <f>($B20*$B$7+$C20*$C$7)/100</f>
        <v>7.523818872502077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0.6376811594202898</v>
      </c>
      <c r="C21" s="184">
        <f>C20*C7/100</f>
        <v>6.886137713081787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7.523818872502077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</v>
      </c>
      <c r="C23" s="212">
        <v>0.003964757709251102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>($B23*$B$7+$C23*$C$7)/100</f>
        <v>0.0017841409691629955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>IF(ISTEXT(H23),"",(B23*$B$7/100)+(C23*$C$7/100))</f>
        <v>0.0017841409691629955</v>
      </c>
      <c r="R23" s="222">
        <f>IF(OR(ISTEXT(H23),Q23=0),"",IF(Q23&lt;0.1,1,IF(Q23&lt;1,2,IF(Q23&lt;10,3,IF(Q23&lt;50,4,IF(Q23&gt;=50,5,""))))))</f>
        <v>1</v>
      </c>
      <c r="S23" s="222">
        <f>IF(ISERROR(R23*I23),0,R23*I23)</f>
        <v>6</v>
      </c>
      <c r="T23" s="222">
        <f>IF(ISERROR(R23*I23*J23),0,R23*I23*J23)</f>
        <v>6</v>
      </c>
      <c r="U23" s="222">
        <f>IF(ISERROR(R23*J23),0,R23*J23)</f>
        <v>1</v>
      </c>
      <c r="V23" s="223">
        <f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>IF(A23="","",1)</f>
        <v>1</v>
      </c>
    </row>
    <row r="24" spans="1:54" ht="12.75">
      <c r="A24" s="228" t="s">
        <v>80</v>
      </c>
      <c r="B24" s="229">
        <v>0</v>
      </c>
      <c r="C24" s="230">
        <v>0.001982378854625551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Hydrodictyon sp.</v>
      </c>
      <c r="E24" s="231" t="e">
        <f>IF(D24="",,VLOOKUP(D24,D$22:D23,1,0))</f>
        <v>#N/A</v>
      </c>
      <c r="F24" s="232">
        <f>($B24*$B$7+$C24*$C$7)/100</f>
        <v>0.0008920704845814978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Hydrodictyon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5686</v>
      </c>
      <c r="Q24" s="221">
        <f>IF(ISTEXT(H24),"",(B24*$B$7/100)+(C24*$C$7/100))</f>
        <v>0.0008920704845814978</v>
      </c>
      <c r="R24" s="222">
        <f>IF(OR(ISTEXT(H24),Q24=0),"",IF(Q24&lt;0.1,1,IF(Q24&lt;1,2,IF(Q24&lt;10,3,IF(Q24&lt;50,4,IF(Q24&gt;=50,5,""))))))</f>
        <v>1</v>
      </c>
      <c r="S24" s="222">
        <f>IF(ISERROR(R24*I24),0,R24*I24)</f>
        <v>6</v>
      </c>
      <c r="T24" s="222">
        <f>IF(ISERROR(R24*I24*J24),0,R24*I24*J24)</f>
        <v>12</v>
      </c>
      <c r="U24" s="234">
        <f>IF(ISERROR(R24*J24),0,R24*J24)</f>
        <v>2</v>
      </c>
      <c r="V24" s="223">
        <f>IF(AND(A24="",F24=0),"",IF(F24=0,"Il manque le(s) % de rec. !",""))</f>
      </c>
      <c r="W24" s="224" t="s">
        <v>55</v>
      </c>
      <c r="Y24" s="225" t="str">
        <f>IF(A24="new.cod","NEWCOD",IF(AND((Z24=""),ISTEXT(A24)),A24,IF(Z24="","",INDEX('[1]liste reference'!$A$8:$A$904,Z24))))</f>
        <v>HYISPX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32</v>
      </c>
      <c r="AA24" s="226"/>
      <c r="AB24" s="227"/>
      <c r="AC24" s="227"/>
      <c r="BB24" s="8">
        <f>IF(A24="","",1)</f>
        <v>1</v>
      </c>
    </row>
    <row r="25" spans="1:54" ht="12.75">
      <c r="A25" s="228" t="s">
        <v>81</v>
      </c>
      <c r="B25" s="229">
        <v>0</v>
      </c>
      <c r="C25" s="230">
        <v>0.08913043478260871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>($B25*$B$7+$C25*$C$7)/100</f>
        <v>0.04010869565217392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>IF(ISTEXT(H25),"",(B25*$B$7/100)+(C25*$C$7/100))</f>
        <v>0.04010869565217392</v>
      </c>
      <c r="R25" s="222">
        <f>IF(OR(ISTEXT(H25),Q25=0),"",IF(Q25&lt;0.1,1,IF(Q25&lt;1,2,IF(Q25&lt;10,3,IF(Q25&lt;50,4,IF(Q25&gt;=50,5,""))))))</f>
        <v>1</v>
      </c>
      <c r="S25" s="222">
        <f>IF(ISERROR(R25*I25),0,R25*I25)</f>
        <v>13</v>
      </c>
      <c r="T25" s="222">
        <f>IF(ISERROR(R25*I25*J25),0,R25*I25*J25)</f>
        <v>26</v>
      </c>
      <c r="U25" s="234">
        <f>IF(ISERROR(R25*J25),0,R25*J25)</f>
        <v>2</v>
      </c>
      <c r="V25" s="223">
        <f>IF(AND(A25="",F25=0),"",IF(F25=0,"Il manque le(s) % de rec. !",""))</f>
      </c>
      <c r="W25" s="224" t="s">
        <v>55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>IF(A25="","",1)</f>
        <v>1</v>
      </c>
    </row>
    <row r="26" spans="1:54" ht="12.75">
      <c r="A26" s="228" t="s">
        <v>82</v>
      </c>
      <c r="B26" s="229">
        <v>0</v>
      </c>
      <c r="C26" s="230">
        <v>0.001982378854625551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Ulothrix sp.</v>
      </c>
      <c r="E26" s="231" t="e">
        <f>IF(D26="",,VLOOKUP(D26,D$22:D25,1,0))</f>
        <v>#N/A</v>
      </c>
      <c r="F26" s="232">
        <f>($B26*$B$7+$C26*$C$7)/100</f>
        <v>0.0008920704845814978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Ulothrix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1142</v>
      </c>
      <c r="Q26" s="221">
        <f>IF(ISTEXT(H26),"",(B26*$B$7/100)+(C26*$C$7/100))</f>
        <v>0.0008920704845814978</v>
      </c>
      <c r="R26" s="222">
        <f>IF(OR(ISTEXT(H26),Q26=0),"",IF(Q26&lt;0.1,1,IF(Q26&lt;1,2,IF(Q26&lt;10,3,IF(Q26&lt;50,4,IF(Q26&gt;=50,5,""))))))</f>
        <v>1</v>
      </c>
      <c r="S26" s="222">
        <f>IF(ISERROR(R26*I26),0,R26*I26)</f>
        <v>10</v>
      </c>
      <c r="T26" s="222">
        <f>IF(ISERROR(R26*I26*J26),0,R26*I26*J26)</f>
        <v>10</v>
      </c>
      <c r="U26" s="234">
        <f>IF(ISERROR(R26*J26),0,R26*J26)</f>
        <v>1</v>
      </c>
      <c r="V26" s="223">
        <f>IF(AND(A26="",F26=0),"",IF(F26=0,"Il manque le(s) % de rec. !",""))</f>
      </c>
      <c r="W26" s="224" t="s">
        <v>55</v>
      </c>
      <c r="Y26" s="225" t="str">
        <f>IF(A26="new.cod","NEWCOD",IF(AND((Z26=""),ISTEXT(A26)),A26,IF(Z26="","",INDEX('[1]liste reference'!$A$8:$A$904,Z26))))</f>
        <v>ULOSPX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81</v>
      </c>
      <c r="AA26" s="226"/>
      <c r="AB26" s="227"/>
      <c r="AC26" s="227"/>
      <c r="BB26" s="8">
        <f>IF(A26="","",1)</f>
        <v>1</v>
      </c>
    </row>
    <row r="27" spans="1:54" ht="12.75">
      <c r="A27" s="228" t="s">
        <v>83</v>
      </c>
      <c r="B27" s="229">
        <v>0</v>
      </c>
      <c r="C27" s="230">
        <v>0.10697184447423867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31" t="e">
        <f>IF(D27="",,VLOOKUP(D27,D$22:D26,1,0))</f>
        <v>#N/A</v>
      </c>
      <c r="F27" s="232">
        <f>($B27*$B$7+$C27*$C$7)/100</f>
        <v>0.0481373300134074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21">
        <f>IF(ISTEXT(H27),"",(B27*$B$7/100)+(C27*$C$7/100))</f>
        <v>0.0481373300134074</v>
      </c>
      <c r="R27" s="222">
        <f>IF(OR(ISTEXT(H27),Q27=0),"",IF(Q27&lt;0.1,1,IF(Q27&lt;1,2,IF(Q27&lt;10,3,IF(Q27&lt;50,4,IF(Q27&gt;=50,5,""))))))</f>
        <v>1</v>
      </c>
      <c r="S27" s="222">
        <f>IF(ISERROR(R27*I27),0,R27*I27)</f>
        <v>4</v>
      </c>
      <c r="T27" s="222">
        <f>IF(ISERROR(R27*I27*J27),0,R27*I27*J27)</f>
        <v>4</v>
      </c>
      <c r="U27" s="234">
        <f>IF(ISERROR(R27*J27),0,R27*J27)</f>
        <v>1</v>
      </c>
      <c r="V27" s="223">
        <f>IF(AND(A27="",F27=0),"",IF(F27=0,"Il manque le(s) % de rec. !",""))</f>
      </c>
      <c r="W27" s="235" t="s">
        <v>55</v>
      </c>
      <c r="Y27" s="22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26"/>
      <c r="AB27" s="227"/>
      <c r="AC27" s="227"/>
      <c r="BB27" s="8">
        <f>IF(A27="","",1)</f>
        <v>1</v>
      </c>
    </row>
    <row r="28" spans="1:54" ht="12.75">
      <c r="A28" s="228" t="s">
        <v>84</v>
      </c>
      <c r="B28" s="229">
        <v>0</v>
      </c>
      <c r="C28" s="230">
        <v>0.08714805592798315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Cinclidotus riparius</v>
      </c>
      <c r="E28" s="231" t="e">
        <f>IF(D28="",,VLOOKUP(D28,D$22:D27,1,0))</f>
        <v>#N/A</v>
      </c>
      <c r="F28" s="232">
        <f>($B28*$B$7+$C28*$C$7)/100</f>
        <v>0.03921662516759242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Cinclidotus riparius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1321</v>
      </c>
      <c r="Q28" s="221">
        <f>IF(ISTEXT(H28),"",(B28*$B$7/100)+(C28*$C$7/100))</f>
        <v>0.03921662516759242</v>
      </c>
      <c r="R28" s="222">
        <f>IF(OR(ISTEXT(H28),Q28=0),"",IF(Q28&lt;0.1,1,IF(Q28&lt;1,2,IF(Q28&lt;10,3,IF(Q28&lt;50,4,IF(Q28&gt;=50,5,""))))))</f>
        <v>1</v>
      </c>
      <c r="S28" s="222">
        <f>IF(ISERROR(R28*I28),0,R28*I28)</f>
        <v>13</v>
      </c>
      <c r="T28" s="222">
        <f>IF(ISERROR(R28*I28*J28),0,R28*I28*J28)</f>
        <v>26</v>
      </c>
      <c r="U28" s="234">
        <f>IF(ISERROR(R28*J28),0,R28*J28)</f>
        <v>2</v>
      </c>
      <c r="V28" s="223">
        <f>IF(AND(A28="",F28=0),"",IF(F28=0,"Il manque le(s) % de rec. !",""))</f>
      </c>
      <c r="W28" s="224" t="s">
        <v>55</v>
      </c>
      <c r="Y28" s="225" t="str">
        <f>IF(A28="new.cod","NEWCOD",IF(AND((Z28=""),ISTEXT(A28)),A28,IF(Z28="","",INDEX('[1]liste reference'!$A$8:$A$904,Z28))))</f>
        <v>CINRIP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174</v>
      </c>
      <c r="AA28" s="226"/>
      <c r="AB28" s="227"/>
      <c r="AC28" s="227"/>
      <c r="BB28" s="8">
        <f>IF(A28="","",1)</f>
        <v>1</v>
      </c>
    </row>
    <row r="29" spans="1:54" ht="12.75">
      <c r="A29" s="228" t="s">
        <v>85</v>
      </c>
      <c r="B29" s="229">
        <v>0</v>
      </c>
      <c r="C29" s="230">
        <v>0.6971844474238652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Egeria densa</v>
      </c>
      <c r="E29" s="231" t="e">
        <f>IF(D29="",,VLOOKUP(D29,D$22:D28,1,0))</f>
        <v>#N/A</v>
      </c>
      <c r="F29" s="232">
        <f>($B29*$B$7+$C29*$C$7)/100</f>
        <v>0.31373300134073934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PHy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7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Egeria densa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19626</v>
      </c>
      <c r="Q29" s="221">
        <f>IF(ISTEXT(H29),"",(B29*$B$7/100)+(C29*$C$7/100))</f>
        <v>0.31373300134073934</v>
      </c>
      <c r="R29" s="222">
        <f>IF(OR(ISTEXT(H29),Q29=0),"",IF(Q29&lt;0.1,1,IF(Q29&lt;1,2,IF(Q29&lt;10,3,IF(Q29&lt;50,4,IF(Q29&gt;=50,5,""))))))</f>
        <v>2</v>
      </c>
      <c r="S29" s="222">
        <f>IF(ISERROR(R29*I29),0,R29*I29)</f>
        <v>0</v>
      </c>
      <c r="T29" s="222">
        <f>IF(ISERROR(R29*I29*J29),0,R29*I29*J29)</f>
        <v>0</v>
      </c>
      <c r="U29" s="234">
        <f>IF(ISERROR(R29*J29),0,R29*J29)</f>
        <v>0</v>
      </c>
      <c r="V29" s="223">
        <f>IF(AND(A29="",F29=0),"",IF(F29=0,"Il manque le(s) % de rec. !",""))</f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EGEDEN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337</v>
      </c>
      <c r="AA29" s="226"/>
      <c r="AB29" s="227"/>
      <c r="AC29" s="227"/>
      <c r="BB29" s="8">
        <f>IF(A29="","",1)</f>
        <v>1</v>
      </c>
    </row>
    <row r="30" spans="1:54" ht="12.75">
      <c r="A30" s="228" t="s">
        <v>86</v>
      </c>
      <c r="B30" s="229">
        <v>0</v>
      </c>
      <c r="C30" s="230">
        <v>3.157153801953649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Elodea nuttalii</v>
      </c>
      <c r="E30" s="231" t="e">
        <f>IF(D30="",,VLOOKUP(D30,D$22:D29,1,0))</f>
        <v>#N/A</v>
      </c>
      <c r="F30" s="232">
        <f>($B30*$B$7+$C30*$C$7)/100</f>
        <v>1.420719210879142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8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Elodea nuttalii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1588</v>
      </c>
      <c r="Q30" s="221">
        <f>IF(ISTEXT(H30),"",(B30*$B$7/100)+(C30*$C$7/100))</f>
        <v>1.420719210879142</v>
      </c>
      <c r="R30" s="222">
        <f>IF(OR(ISTEXT(H30),Q30=0),"",IF(Q30&lt;0.1,1,IF(Q30&lt;1,2,IF(Q30&lt;10,3,IF(Q30&lt;50,4,IF(Q30&gt;=50,5,""))))))</f>
        <v>3</v>
      </c>
      <c r="S30" s="222">
        <f>IF(ISERROR(R30*I30),0,R30*I30)</f>
        <v>24</v>
      </c>
      <c r="T30" s="222">
        <f>IF(ISERROR(R30*I30*J30),0,R30*I30*J30)</f>
        <v>48</v>
      </c>
      <c r="U30" s="234">
        <f>IF(ISERROR(R30*J30),0,R30*J30)</f>
        <v>6</v>
      </c>
      <c r="V30" s="223">
        <f>IF(AND(A30="",F30=0),"",IF(F30=0,"Il manque le(s) % de rec. !",""))</f>
      </c>
      <c r="W30" s="224" t="s">
        <v>55</v>
      </c>
      <c r="Y30" s="225" t="str">
        <f>IF(A30="new.cod","NEWCOD",IF(AND((Z30=""),ISTEXT(A30)),A30,IF(Z30="","",INDEX('[1]liste reference'!$A$8:$A$904,Z30))))</f>
        <v>ELONUT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343</v>
      </c>
      <c r="AA30" s="226"/>
      <c r="AB30" s="227"/>
      <c r="AC30" s="227"/>
      <c r="BB30" s="8">
        <f>IF(A30="","",1)</f>
        <v>1</v>
      </c>
    </row>
    <row r="31" spans="1:54" ht="12.75">
      <c r="A31" s="228" t="s">
        <v>87</v>
      </c>
      <c r="B31" s="229">
        <v>0</v>
      </c>
      <c r="C31" s="230">
        <v>4.832790653131585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Myriophyllum spicatum</v>
      </c>
      <c r="E31" s="231" t="e">
        <f>IF(D31="",,VLOOKUP(D31,D$22:D30,1,0))</f>
        <v>#N/A</v>
      </c>
      <c r="F31" s="232">
        <f>($B31*$B$7+$C31*$C$7)/100</f>
        <v>2.1747557939092137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8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Myriophyllum spicatum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1778</v>
      </c>
      <c r="Q31" s="221">
        <f>IF(ISTEXT(H31),"",(B31*$B$7/100)+(C31*$C$7/100))</f>
        <v>2.1747557939092137</v>
      </c>
      <c r="R31" s="222">
        <f>IF(OR(ISTEXT(H31),Q31=0),"",IF(Q31&lt;0.1,1,IF(Q31&lt;1,2,IF(Q31&lt;10,3,IF(Q31&lt;50,4,IF(Q31&gt;=50,5,""))))))</f>
        <v>3</v>
      </c>
      <c r="S31" s="222">
        <f>IF(ISERROR(R31*I31),0,R31*I31)</f>
        <v>24</v>
      </c>
      <c r="T31" s="222">
        <f>IF(ISERROR(R31*I31*J31),0,R31*I31*J31)</f>
        <v>48</v>
      </c>
      <c r="U31" s="234">
        <f>IF(ISERROR(R31*J31),0,R31*J31)</f>
        <v>6</v>
      </c>
      <c r="V31" s="223">
        <f>IF(AND(A31="",F31=0),"",IF(F31=0,"Il manque le(s) % de rec. !",""))</f>
      </c>
      <c r="W31" s="224" t="s">
        <v>55</v>
      </c>
      <c r="Y31" s="225" t="str">
        <f>IF(A31="new.cod","NEWCOD",IF(AND((Z31=""),ISTEXT(A31)),A31,IF(Z31="","",INDEX('[1]liste reference'!$A$8:$A$904,Z31))))</f>
        <v>MYRSPI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373</v>
      </c>
      <c r="AA31" s="226"/>
      <c r="AB31" s="227"/>
      <c r="AC31" s="227"/>
      <c r="BB31" s="8">
        <f>IF(A31="","",1)</f>
        <v>1</v>
      </c>
    </row>
    <row r="32" spans="1:54" ht="12.75">
      <c r="A32" s="228" t="s">
        <v>16</v>
      </c>
      <c r="B32" s="229">
        <v>1.1594202898550725</v>
      </c>
      <c r="C32" s="230">
        <v>6.294483815361043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Ranunculus fluitans</v>
      </c>
      <c r="E32" s="231" t="e">
        <f>IF(D32="",,VLOOKUP(D32,D$22:D31,1,0))</f>
        <v>#N/A</v>
      </c>
      <c r="F32" s="232">
        <f>($B32*$B$7+$C32*$C$7)/100</f>
        <v>3.470198876332759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Ranunculus fluitans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1903</v>
      </c>
      <c r="Q32" s="221">
        <f>IF(ISTEXT(H32),"",(B32*$B$7/100)+(C32*$C$7/100))</f>
        <v>3.470198876332759</v>
      </c>
      <c r="R32" s="222">
        <f>IF(OR(ISTEXT(H32),Q32=0),"",IF(Q32&lt;0.1,1,IF(Q32&lt;1,2,IF(Q32&lt;10,3,IF(Q32&lt;50,4,IF(Q32&gt;=50,5,""))))))</f>
        <v>3</v>
      </c>
      <c r="S32" s="222">
        <f>IF(ISERROR(R32*I32),0,R32*I32)</f>
        <v>30</v>
      </c>
      <c r="T32" s="222">
        <f>IF(ISERROR(R32*I32*J32),0,R32*I32*J32)</f>
        <v>60</v>
      </c>
      <c r="U32" s="234">
        <f>IF(ISERROR(R32*J32),0,R32*J32)</f>
        <v>6</v>
      </c>
      <c r="V32" s="223">
        <f>IF(AND(A32="",F32=0),"",IF(F32=0,"Il manque le(s) % de rec. !",""))</f>
      </c>
      <c r="W32" s="224" t="s">
        <v>55</v>
      </c>
      <c r="Y32" s="225" t="str">
        <f>IF(A32="new.cod","NEWCOD",IF(AND((Z32=""),ISTEXT(A32)),A32,IF(Z32="","",INDEX('[1]liste reference'!$A$8:$A$904,Z32))))</f>
        <v>RANFLU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456</v>
      </c>
      <c r="AA32" s="226"/>
      <c r="AB32" s="227"/>
      <c r="AC32" s="227"/>
      <c r="BB32" s="8">
        <f>IF(A32="","",1)</f>
        <v>1</v>
      </c>
    </row>
    <row r="33" spans="1:54" ht="12.75">
      <c r="A33" s="228" t="s">
        <v>88</v>
      </c>
      <c r="B33" s="229">
        <v>0</v>
      </c>
      <c r="C33" s="230">
        <v>0.001982378854625551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Glyceria fluitans</v>
      </c>
      <c r="E33" s="231" t="e">
        <f>IF(D33="",,VLOOKUP(D33,D$22:D32,1,0))</f>
        <v>#N/A</v>
      </c>
      <c r="F33" s="232">
        <f>($B33*$B$7+$C33*$C$7)/100</f>
        <v>0.0008920704845814978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14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Glyceria fluitans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1564</v>
      </c>
      <c r="Q33" s="221">
        <f>IF(ISTEXT(H33),"",(B33*$B$7/100)+(C33*$C$7/100))</f>
        <v>0.0008920704845814978</v>
      </c>
      <c r="R33" s="222">
        <f>IF(OR(ISTEXT(H33),Q33=0),"",IF(Q33&lt;0.1,1,IF(Q33&lt;1,2,IF(Q33&lt;10,3,IF(Q33&lt;50,4,IF(Q33&gt;=50,5,""))))))</f>
        <v>1</v>
      </c>
      <c r="S33" s="222">
        <f>IF(ISERROR(R33*I33),0,R33*I33)</f>
        <v>14</v>
      </c>
      <c r="T33" s="222">
        <f>IF(ISERROR(R33*I33*J33),0,R33*I33*J33)</f>
        <v>28</v>
      </c>
      <c r="U33" s="234">
        <f>IF(ISERROR(R33*J33),0,R33*J33)</f>
        <v>2</v>
      </c>
      <c r="V33" s="223">
        <f>IF(AND(A33="",F33=0),"",IF(F33=0,"Il manque le(s) % de rec. !",""))</f>
      </c>
      <c r="W33" s="224" t="s">
        <v>55</v>
      </c>
      <c r="Y33" s="225" t="str">
        <f>IF(A33="new.cod","NEWCOD",IF(AND((Z33=""),ISTEXT(A33)),A33,IF(Z33="","",INDEX('[1]liste reference'!$A$8:$A$904,Z33))))</f>
        <v>GLYFLU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575</v>
      </c>
      <c r="AA33" s="226"/>
      <c r="AB33" s="227"/>
      <c r="AC33" s="227"/>
      <c r="BB33" s="8">
        <f>IF(A33="","",1)</f>
        <v>1</v>
      </c>
    </row>
    <row r="34" spans="1:54" ht="12.75">
      <c r="A34" s="228" t="s">
        <v>89</v>
      </c>
      <c r="B34" s="229">
        <v>0</v>
      </c>
      <c r="C34" s="230">
        <v>0.019823788546255508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Phalaris arundinacea</v>
      </c>
      <c r="E34" s="231" t="e">
        <f>IF(D34="",,VLOOKUP(D34,D$22:D33,1,0))</f>
        <v>#N/A</v>
      </c>
      <c r="F34" s="236">
        <f>($B34*$B$7+$C34*$C$7)/100</f>
        <v>0.008920704845814979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10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Phalaris arundinacea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1577</v>
      </c>
      <c r="Q34" s="221">
        <f>IF(ISTEXT(H34),"",(B34*$B$7/100)+(C34*$C$7/100))</f>
        <v>0.008920704845814979</v>
      </c>
      <c r="R34" s="222">
        <f>IF(OR(ISTEXT(H34),Q34=0),"",IF(Q34&lt;0.1,1,IF(Q34&lt;1,2,IF(Q34&lt;10,3,IF(Q34&lt;50,4,IF(Q34&gt;=50,5,""))))))</f>
        <v>1</v>
      </c>
      <c r="S34" s="222">
        <f>IF(ISERROR(R34*I34),0,R34*I34)</f>
        <v>10</v>
      </c>
      <c r="T34" s="222">
        <f>IF(ISERROR(R34*I34*J34),0,R34*I34*J34)</f>
        <v>10</v>
      </c>
      <c r="U34" s="234">
        <f>IF(ISERROR(R34*J34),0,R34*J34)</f>
        <v>1</v>
      </c>
      <c r="V34" s="223">
        <f>IF(AND(A34="",F34=0),"",IF(F34=0,"Il manque le(s) % de rec. !",""))</f>
      </c>
      <c r="W34" s="224" t="s">
        <v>55</v>
      </c>
      <c r="Y34" s="225" t="str">
        <f>IF(A34="new.cod","NEWCOD",IF(AND((Z34=""),ISTEXT(A34)),A34,IF(Z34="","",INDEX('[1]liste reference'!$A$8:$A$904,Z34))))</f>
        <v>PHAARU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634</v>
      </c>
      <c r="AA34" s="226"/>
      <c r="AB34" s="227"/>
      <c r="AC34" s="227"/>
      <c r="BB34" s="8">
        <f>IF(A34="","",1)</f>
        <v>1</v>
      </c>
    </row>
    <row r="35" spans="1:54" ht="12.75">
      <c r="A35" s="228" t="s">
        <v>90</v>
      </c>
      <c r="B35" s="229">
        <v>0</v>
      </c>
      <c r="C35" s="230">
        <v>0.001982378854625551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Phragmites australis</v>
      </c>
      <c r="E35" s="231" t="e">
        <f>IF(D35="",,VLOOKUP(D35,D$22:D34,1,0))</f>
        <v>#N/A</v>
      </c>
      <c r="F35" s="236">
        <f>($B35*$B$7+$C35*$C$7)/100</f>
        <v>0.0008920704845814978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9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Phragmites australis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1579</v>
      </c>
      <c r="Q35" s="221">
        <f>IF(ISTEXT(H35),"",(B35*$B$7/100)+(C35*$C$7/100))</f>
        <v>0.0008920704845814978</v>
      </c>
      <c r="R35" s="222">
        <f>IF(OR(ISTEXT(H35),Q35=0),"",IF(Q35&lt;0.1,1,IF(Q35&lt;1,2,IF(Q35&lt;10,3,IF(Q35&lt;50,4,IF(Q35&gt;=50,5,""))))))</f>
        <v>1</v>
      </c>
      <c r="S35" s="222">
        <f>IF(ISERROR(R35*I35),0,R35*I35)</f>
        <v>9</v>
      </c>
      <c r="T35" s="222">
        <f>IF(ISERROR(R35*I35*J35),0,R35*I35*J35)</f>
        <v>18</v>
      </c>
      <c r="U35" s="234">
        <f>IF(ISERROR(R35*J35),0,R35*J35)</f>
        <v>2</v>
      </c>
      <c r="V35" s="223">
        <f>IF(AND(A35="",F35=0),"",IF(F35=0,"Il manque le(s) % de rec. !",""))</f>
      </c>
      <c r="W35" s="224" t="s">
        <v>55</v>
      </c>
      <c r="Y35" s="225" t="str">
        <f>IF(A35="new.cod","NEWCOD",IF(AND((Z35=""),ISTEXT(A35)),A35,IF(Z35="","",INDEX('[1]liste reference'!$A$8:$A$904,Z35))))</f>
        <v>PHRAUS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635</v>
      </c>
      <c r="AA35" s="226"/>
      <c r="AB35" s="227"/>
      <c r="AC35" s="227"/>
      <c r="BB35" s="8">
        <f>IF(A35="","",1)</f>
        <v>1</v>
      </c>
    </row>
    <row r="36" spans="1:54" ht="12.75">
      <c r="A36" s="228" t="s">
        <v>91</v>
      </c>
      <c r="B36" s="229">
        <v>0</v>
      </c>
      <c r="C36" s="230">
        <v>0.001982378854625551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Reynoutria japonica</v>
      </c>
      <c r="E36" s="231" t="e">
        <f>IF(D36="",,VLOOKUP(D36,D$22:D35,1,0))</f>
        <v>#N/A</v>
      </c>
      <c r="F36" s="236">
        <f>($B36*$B$7+$C36*$C$7)/100</f>
        <v>0.0008920704845814978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Reynoutria japonica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19988</v>
      </c>
      <c r="Q36" s="221">
        <f>IF(ISTEXT(H36),"",(B36*$B$7/100)+(C36*$C$7/100))</f>
        <v>0.0008920704845814978</v>
      </c>
      <c r="R36" s="222">
        <f>IF(OR(ISTEXT(H36),Q36=0),"",IF(Q36&lt;0.1,1,IF(Q36&lt;1,2,IF(Q36&lt;10,3,IF(Q36&lt;50,4,IF(Q36&gt;=50,5,""))))))</f>
        <v>1</v>
      </c>
      <c r="S36" s="222">
        <f>IF(ISERROR(R36*I36),0,R36*I36)</f>
        <v>0</v>
      </c>
      <c r="T36" s="222">
        <f>IF(ISERROR(R36*I36*J36),0,R36*I36*J36)</f>
        <v>0</v>
      </c>
      <c r="U36" s="234">
        <f>IF(ISERROR(R36*J36),0,R36*J36)</f>
        <v>0</v>
      </c>
      <c r="V36" s="223">
        <f>IF(AND(A36="",F36=0),"",IF(F36=0,"Il manque le(s) % de rec. !",""))</f>
      </c>
      <c r="W36" s="224" t="s">
        <v>55</v>
      </c>
      <c r="Y36" s="225" t="str">
        <f>IF(A36="new.cod","NEWCOD",IF(AND((Z36=""),ISTEXT(A36)),A36,IF(Z36="","",INDEX('[1]liste reference'!$A$8:$A$904,Z36))))</f>
        <v>REYJAP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644</v>
      </c>
      <c r="AA36" s="226"/>
      <c r="AB36" s="227"/>
      <c r="AC36" s="227"/>
      <c r="BB36" s="8">
        <f>IF(A36="","",1)</f>
        <v>1</v>
      </c>
    </row>
    <row r="37" spans="1:54" ht="12.75">
      <c r="A37" s="228" t="s">
        <v>92</v>
      </c>
      <c r="B37" s="229">
        <v>0</v>
      </c>
      <c r="C37" s="230">
        <v>0.001982378854625551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Rorippa sp.</v>
      </c>
      <c r="E37" s="231" t="e">
        <f>IF(D37="",,VLOOKUP(D37,D$22:D36,1,0))</f>
        <v>#N/A</v>
      </c>
      <c r="F37" s="236">
        <f>($B37*$B$7+$C37*$C$7)/100</f>
        <v>0.0008920704845814978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Rorippa sp.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1764</v>
      </c>
      <c r="Q37" s="221">
        <f>IF(ISTEXT(H37),"",(B37*$B$7/100)+(C37*$C$7/100))</f>
        <v>0.0008920704845814978</v>
      </c>
      <c r="R37" s="222">
        <f>IF(OR(ISTEXT(H37),Q37=0),"",IF(Q37&lt;0.1,1,IF(Q37&lt;1,2,IF(Q37&lt;10,3,IF(Q37&lt;50,4,IF(Q37&gt;=50,5,""))))))</f>
        <v>1</v>
      </c>
      <c r="S37" s="222">
        <f>IF(ISERROR(R37*I37),0,R37*I37)</f>
        <v>0</v>
      </c>
      <c r="T37" s="222">
        <f>IF(ISERROR(R37*I37*J37),0,R37*I37*J37)</f>
        <v>0</v>
      </c>
      <c r="U37" s="234">
        <f>IF(ISERROR(R37*J37),0,R37*J37)</f>
        <v>0</v>
      </c>
      <c r="V37" s="223">
        <f>IF(AND(A37="",F37=0),"",IF(F37=0,"Il manque le(s) % de rec. !",""))</f>
      </c>
      <c r="W37" s="224" t="s">
        <v>55</v>
      </c>
      <c r="Y37" s="225" t="str">
        <f>IF(A37="new.cod","NEWCOD",IF(AND((Z37=""),ISTEXT(A37)),A37,IF(Z37="","",INDEX('[1]liste reference'!$A$8:$A$904,Z37))))</f>
        <v>RORSPX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647</v>
      </c>
      <c r="AA37" s="226"/>
      <c r="AB37" s="227"/>
      <c r="AC37" s="227"/>
      <c r="BB37" s="8">
        <f>IF(A37="","",1)</f>
        <v>1</v>
      </c>
    </row>
    <row r="38" spans="1:54" ht="12.75">
      <c r="A38" s="228" t="s">
        <v>93</v>
      </c>
      <c r="B38" s="229">
        <v>0</v>
      </c>
      <c r="C38" s="230">
        <v>0.001982378854625551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Polygonum sp.</v>
      </c>
      <c r="E38" s="231" t="e">
        <f>IF(D38="",,VLOOKUP(D38,D$22:D37,1,0))</f>
        <v>#N/A</v>
      </c>
      <c r="F38" s="236">
        <f>($B38*$B$7+$C38*$C$7)/100</f>
        <v>0.0008920704845814978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PHg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9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Polygonum sp.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1863</v>
      </c>
      <c r="Q38" s="221">
        <f>IF(ISTEXT(H38),"",(B38*$B$7/100)+(C38*$C$7/100))</f>
        <v>0.0008920704845814978</v>
      </c>
      <c r="R38" s="222">
        <f>IF(OR(ISTEXT(H38),Q38=0),"",IF(Q38&lt;0.1,1,IF(Q38&lt;1,2,IF(Q38&lt;10,3,IF(Q38&lt;50,4,IF(Q38&gt;=50,5,""))))))</f>
        <v>1</v>
      </c>
      <c r="S38" s="222">
        <f>IF(ISERROR(R38*I38),0,R38*I38)</f>
        <v>0</v>
      </c>
      <c r="T38" s="222">
        <f>IF(ISERROR(R38*I38*J38),0,R38*I38*J38)</f>
        <v>0</v>
      </c>
      <c r="U38" s="234">
        <f>IF(ISERROR(R38*J38),0,R38*J38)</f>
        <v>0</v>
      </c>
      <c r="V38" s="223">
        <f>IF(AND(A38="",F38=0),"",IF(F38=0,"Il manque le(s) % de rec. !",""))</f>
      </c>
      <c r="W38" s="224" t="s">
        <v>55</v>
      </c>
      <c r="Y38" s="225" t="str">
        <f>IF(A38="new.cod","NEWCOD",IF(AND((Z38=""),ISTEXT(A38)),A38,IF(Z38="","",INDEX('[1]liste reference'!$A$8:$A$904,Z38))))</f>
        <v>POLSPX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799</v>
      </c>
      <c r="AA38" s="226"/>
      <c r="AB38" s="227"/>
      <c r="AC38" s="227"/>
      <c r="BB38" s="8">
        <f>IF(A38="","",1)</f>
        <v>1</v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>($B39*$B$7+$C39*$C$7)/100</f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>IF(ISTEXT(H39),"",(B39*$B$7/100)+(C39*$C$7/100))</f>
      </c>
      <c r="R39" s="222">
        <f>IF(OR(ISTEXT(H39),Q39=0),"",IF(Q39&lt;0.1,1,IF(Q39&lt;1,2,IF(Q39&lt;10,3,IF(Q39&lt;50,4,IF(Q39&gt;=50,5,""))))))</f>
      </c>
      <c r="S39" s="222">
        <f>IF(ISERROR(R39*I39),0,R39*I39)</f>
        <v>0</v>
      </c>
      <c r="T39" s="222">
        <f>IF(ISERROR(R39*I39*J39),0,R39*I39*J39)</f>
        <v>0</v>
      </c>
      <c r="U39" s="234">
        <f>IF(ISERROR(R39*J39),0,R39*J39)</f>
        <v>0</v>
      </c>
      <c r="V39" s="223">
        <f>IF(AND(A39="",F39=0),"",IF(F39=0,"Il manque le(s) % de rec. !",""))</f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>IF(A39="","",1)</f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>($B40*$B$7+$C40*$C$7)/100</f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>IF(ISTEXT(H40),"",(B40*$B$7/100)+(C40*$C$7/100))</f>
      </c>
      <c r="R40" s="222">
        <f>IF(OR(ISTEXT(H40),Q40=0),"",IF(Q40&lt;0.1,1,IF(Q40&lt;1,2,IF(Q40&lt;10,3,IF(Q40&lt;50,4,IF(Q40&gt;=50,5,""))))))</f>
      </c>
      <c r="S40" s="222">
        <f>IF(ISERROR(R40*I40),0,R40*I40)</f>
        <v>0</v>
      </c>
      <c r="T40" s="222">
        <f>IF(ISERROR(R40*I40*J40),0,R40*I40*J40)</f>
        <v>0</v>
      </c>
      <c r="U40" s="234">
        <f>IF(ISERROR(R40*J40),0,R40*J40)</f>
        <v>0</v>
      </c>
      <c r="V40" s="223">
        <f>IF(AND(A40="",F40=0),"",IF(F40=0,"Il manque le(s) % de rec. !",""))</f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>IF(A40="","",1)</f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>($B41*$B$7+$C41*$C$7)/100</f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>IF(ISTEXT(H41),"",(B41*$B$7/100)+(C41*$C$7/100))</f>
      </c>
      <c r="R41" s="222">
        <f>IF(OR(ISTEXT(H41),Q41=0),"",IF(Q41&lt;0.1,1,IF(Q41&lt;1,2,IF(Q41&lt;10,3,IF(Q41&lt;50,4,IF(Q41&gt;=50,5,""))))))</f>
      </c>
      <c r="S41" s="222">
        <f>IF(ISERROR(R41*I41),0,R41*I41)</f>
        <v>0</v>
      </c>
      <c r="T41" s="222">
        <f>IF(ISERROR(R41*I41*J41),0,R41*I41*J41)</f>
        <v>0</v>
      </c>
      <c r="U41" s="234">
        <f>IF(ISERROR(R41*J41),0,R41*J41)</f>
        <v>0</v>
      </c>
      <c r="V41" s="223">
        <f>IF(AND(A41="",F41=0),"",IF(F41=0,"Il manque le(s) % de rec. !",""))</f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>IF(A41="","",1)</f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>($B42*$B$7+$C42*$C$7)/100</f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>IF(ISTEXT(H42),"",(B42*$B$7/100)+(C42*$C$7/100))</f>
      </c>
      <c r="R42" s="222">
        <f>IF(OR(ISTEXT(H42),Q42=0),"",IF(Q42&lt;0.1,1,IF(Q42&lt;1,2,IF(Q42&lt;10,3,IF(Q42&lt;50,4,IF(Q42&gt;=50,5,""))))))</f>
      </c>
      <c r="S42" s="222">
        <f>IF(ISERROR(R42*I42),0,R42*I42)</f>
        <v>0</v>
      </c>
      <c r="T42" s="222">
        <f>IF(ISERROR(R42*I42*J42),0,R42*I42*J42)</f>
        <v>0</v>
      </c>
      <c r="U42" s="234">
        <f>IF(ISERROR(R42*J42),0,R42*J42)</f>
        <v>0</v>
      </c>
      <c r="V42" s="223">
        <f>IF(AND(A42="",F42=0),"",IF(F42=0,"Il manque le(s) % de rec. !",""))</f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>IF(A42="","",1)</f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>($B43*$B$7+$C43*$C$7)/100</f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>IF(ISTEXT(H43),"",(B43*$B$7/100)+(C43*$C$7/100))</f>
      </c>
      <c r="R43" s="222">
        <f>IF(OR(ISTEXT(H43),Q43=0),"",IF(Q43&lt;0.1,1,IF(Q43&lt;1,2,IF(Q43&lt;10,3,IF(Q43&lt;50,4,IF(Q43&gt;=50,5,""))))))</f>
      </c>
      <c r="S43" s="222">
        <f>IF(ISERROR(R43*I43),0,R43*I43)</f>
        <v>0</v>
      </c>
      <c r="T43" s="222">
        <f>IF(ISERROR(R43*I43*J43),0,R43*I43*J43)</f>
        <v>0</v>
      </c>
      <c r="U43" s="234">
        <f>IF(ISERROR(R43*J43),0,R43*J43)</f>
        <v>0</v>
      </c>
      <c r="V43" s="223">
        <f>IF(AND(A43="",F43=0),"",IF(F43=0,"Il manque le(s) % de rec. !",""))</f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>IF(A43="","",1)</f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>($B44*$B$7+$C44*$C$7)/100</f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>IF(ISTEXT(H44),"",(B44*$B$7/100)+(C44*$C$7/100))</f>
      </c>
      <c r="R44" s="222">
        <f>IF(OR(ISTEXT(H44),Q44=0),"",IF(Q44&lt;0.1,1,IF(Q44&lt;1,2,IF(Q44&lt;10,3,IF(Q44&lt;50,4,IF(Q44&gt;=50,5,""))))))</f>
      </c>
      <c r="S44" s="222">
        <f>IF(ISERROR(R44*I44),0,R44*I44)</f>
        <v>0</v>
      </c>
      <c r="T44" s="222">
        <f>IF(ISERROR(R44*I44*J44),0,R44*I44*J44)</f>
        <v>0</v>
      </c>
      <c r="U44" s="234">
        <f>IF(ISERROR(R44*J44),0,R44*J44)</f>
        <v>0</v>
      </c>
      <c r="V44" s="223">
        <f>IF(AND(A44="",F44=0),"",IF(F44=0,"Il manque le(s) % de rec. !",""))</f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>IF(A44="","",1)</f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>($B45*$B$7+$C45*$C$7)/100</f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>IF(ISTEXT(H45),"",(B45*$B$7/100)+(C45*$C$7/100))</f>
      </c>
      <c r="R45" s="222">
        <f>IF(OR(ISTEXT(H45),Q45=0),"",IF(Q45&lt;0.1,1,IF(Q45&lt;1,2,IF(Q45&lt;10,3,IF(Q45&lt;50,4,IF(Q45&gt;=50,5,""))))))</f>
      </c>
      <c r="S45" s="222">
        <f>IF(ISERROR(R45*I45),0,R45*I45)</f>
        <v>0</v>
      </c>
      <c r="T45" s="222">
        <f>IF(ISERROR(R45*I45*J45),0,R45*I45*J45)</f>
        <v>0</v>
      </c>
      <c r="U45" s="234">
        <f>IF(ISERROR(R45*J45),0,R45*J45)</f>
        <v>0</v>
      </c>
      <c r="V45" s="223">
        <f>IF(AND(A45="",F45=0),"",IF(F45=0,"Il manque le(s) % de rec. !",""))</f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>IF(A45="","",1)</f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>($B46*$B$7+$C46*$C$7)/100</f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>IF(ISTEXT(H46),"",(B46*$B$7/100)+(C46*$C$7/100))</f>
      </c>
      <c r="R46" s="222">
        <f>IF(OR(ISTEXT(H46),Q46=0),"",IF(Q46&lt;0.1,1,IF(Q46&lt;1,2,IF(Q46&lt;10,3,IF(Q46&lt;50,4,IF(Q46&gt;=50,5,""))))))</f>
      </c>
      <c r="S46" s="222">
        <f>IF(ISERROR(R46*I46),0,R46*I46)</f>
        <v>0</v>
      </c>
      <c r="T46" s="222">
        <f>IF(ISERROR(R46*I46*J46),0,R46*I46*J46)</f>
        <v>0</v>
      </c>
      <c r="U46" s="234">
        <f>IF(ISERROR(R46*J46),0,R46*J46)</f>
        <v>0</v>
      </c>
      <c r="V46" s="223">
        <f>IF(AND(A46="",F46=0),"",IF(F46=0,"Il manque le(s) % de rec. !",""))</f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>IF(A46="","",1)</f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>($B47*$B$7+$C47*$C$7)/100</f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>IF(ISTEXT(H47),"",(B47*$B$7/100)+(C47*$C$7/100))</f>
      </c>
      <c r="R47" s="222">
        <f>IF(OR(ISTEXT(H47),Q47=0),"",IF(Q47&lt;0.1,1,IF(Q47&lt;1,2,IF(Q47&lt;10,3,IF(Q47&lt;50,4,IF(Q47&gt;=50,5,""))))))</f>
      </c>
      <c r="S47" s="222">
        <f>IF(ISERROR(R47*I47),0,R47*I47)</f>
        <v>0</v>
      </c>
      <c r="T47" s="222">
        <f>IF(ISERROR(R47*I47*J47),0,R47*I47*J47)</f>
        <v>0</v>
      </c>
      <c r="U47" s="234">
        <f>IF(ISERROR(R47*J47),0,R47*J47)</f>
        <v>0</v>
      </c>
      <c r="V47" s="223">
        <f>IF(AND(A47="",F47=0),"",IF(F47=0,"Il manque le(s) % de rec. !",""))</f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>IF(A47="","",1)</f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>($B48*$B$7+$C48*$C$7)/100</f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>IF(ISTEXT(H48),"",(B48*$B$7/100)+(C48*$C$7/100))</f>
      </c>
      <c r="R48" s="222">
        <f>IF(OR(ISTEXT(H48),Q48=0),"",IF(Q48&lt;0.1,1,IF(Q48&lt;1,2,IF(Q48&lt;10,3,IF(Q48&lt;50,4,IF(Q48&gt;=50,5,""))))))</f>
      </c>
      <c r="S48" s="222">
        <f>IF(ISERROR(R48*I48),0,R48*I48)</f>
        <v>0</v>
      </c>
      <c r="T48" s="222">
        <f>IF(ISERROR(R48*I48*J48),0,R48*I48*J48)</f>
        <v>0</v>
      </c>
      <c r="U48" s="234">
        <f>IF(ISERROR(R48*J48),0,R48*J48)</f>
        <v>0</v>
      </c>
      <c r="V48" s="223">
        <f>IF(AND(A48="",F48=0),"",IF(F48=0,"Il manque le(s) % de rec. !",""))</f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>IF(A48="","",1)</f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>($B49*$B$7+$C49*$C$7)/100</f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>IF(ISTEXT(H49),"",(B49*$B$7/100)+(C49*$C$7/100))</f>
      </c>
      <c r="R49" s="222">
        <f>IF(OR(ISTEXT(H49),Q49=0),"",IF(Q49&lt;0.1,1,IF(Q49&lt;1,2,IF(Q49&lt;10,3,IF(Q49&lt;50,4,IF(Q49&gt;=50,5,""))))))</f>
      </c>
      <c r="S49" s="222">
        <f>IF(ISERROR(R49*I49),0,R49*I49)</f>
        <v>0</v>
      </c>
      <c r="T49" s="222">
        <f>IF(ISERROR(R49*I49*J49),0,R49*I49*J49)</f>
        <v>0</v>
      </c>
      <c r="U49" s="234">
        <f>IF(ISERROR(R49*J49),0,R49*J49)</f>
        <v>0</v>
      </c>
      <c r="V49" s="223">
        <f>IF(AND(A49="",F49=0),"",IF(F49=0,"Il manque le(s) % de rec. !",""))</f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>IF(A49="","",1)</f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>($B50*$B$7+$C50*$C$7)/100</f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>IF(ISTEXT(H50),"",(B50*$B$7/100)+(C50*$C$7/100))</f>
      </c>
      <c r="R50" s="222">
        <f>IF(OR(ISTEXT(H50),Q50=0),"",IF(Q50&lt;0.1,1,IF(Q50&lt;1,2,IF(Q50&lt;10,3,IF(Q50&lt;50,4,IF(Q50&gt;=50,5,""))))))</f>
      </c>
      <c r="S50" s="222">
        <f>IF(ISERROR(R50*I50),0,R50*I50)</f>
        <v>0</v>
      </c>
      <c r="T50" s="222">
        <f>IF(ISERROR(R50*I50*J50),0,R50*I50*J50)</f>
        <v>0</v>
      </c>
      <c r="U50" s="234">
        <f>IF(ISERROR(R50*J50),0,R50*J50)</f>
        <v>0</v>
      </c>
      <c r="V50" s="223">
        <f>IF(AND(A50="",F50=0),"",IF(F50=0,"Il manque le(s) % de rec. !",""))</f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>IF(A50="","",1)</f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>($B51*$B$7+$C51*$C$7)/100</f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>IF(ISTEXT(H51),"",(B51*$B$7/100)+(C51*$C$7/100))</f>
      </c>
      <c r="R51" s="222">
        <f>IF(OR(ISTEXT(H51),Q51=0),"",IF(Q51&lt;0.1,1,IF(Q51&lt;1,2,IF(Q51&lt;10,3,IF(Q51&lt;50,4,IF(Q51&gt;=50,5,""))))))</f>
      </c>
      <c r="S51" s="222">
        <f>IF(ISERROR(R51*I51),0,R51*I51)</f>
        <v>0</v>
      </c>
      <c r="T51" s="222">
        <f>IF(ISERROR(R51*I51*J51),0,R51*I51*J51)</f>
        <v>0</v>
      </c>
      <c r="U51" s="234">
        <f>IF(ISERROR(R51*J51),0,R51*J51)</f>
        <v>0</v>
      </c>
      <c r="V51" s="223">
        <f>IF(AND(A51="",F51=0),"",IF(F51=0,"Il manque le(s) % de rec. !",""))</f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>IF(A51="","",1)</f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>($B52*$B$7+$C52*$C$7)/100</f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>IF(ISTEXT(H52),"",(B52*$B$7/100)+(C52*$C$7/100))</f>
      </c>
      <c r="R52" s="222">
        <f>IF(OR(ISTEXT(H52),Q52=0),"",IF(Q52&lt;0.1,1,IF(Q52&lt;1,2,IF(Q52&lt;10,3,IF(Q52&lt;50,4,IF(Q52&gt;=50,5,""))))))</f>
      </c>
      <c r="S52" s="222">
        <f>IF(ISERROR(R52*I52),0,R52*I52)</f>
        <v>0</v>
      </c>
      <c r="T52" s="222">
        <f>IF(ISERROR(R52*I52*J52),0,R52*I52*J52)</f>
        <v>0</v>
      </c>
      <c r="U52" s="234">
        <f>IF(ISERROR(R52*J52),0,R52*J52)</f>
        <v>0</v>
      </c>
      <c r="V52" s="223">
        <f>IF(AND(A52="",F52=0),"",IF(F52=0,"Il manque le(s) % de rec. !",""))</f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>IF(A52="","",1)</f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>($B53*$B$7+$C53*$C$7)/100</f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>IF(ISTEXT(H53),"",(B53*$B$7/100)+(C53*$C$7/100))</f>
      </c>
      <c r="R53" s="222">
        <f>IF(OR(ISTEXT(H53),Q53=0),"",IF(Q53&lt;0.1,1,IF(Q53&lt;1,2,IF(Q53&lt;10,3,IF(Q53&lt;50,4,IF(Q53&gt;=50,5,""))))))</f>
      </c>
      <c r="S53" s="222">
        <f>IF(ISERROR(R53*I53),0,R53*I53)</f>
        <v>0</v>
      </c>
      <c r="T53" s="222">
        <f>IF(ISERROR(R53*I53*J53),0,R53*I53*J53)</f>
        <v>0</v>
      </c>
      <c r="U53" s="234">
        <f>IF(ISERROR(R53*J53),0,R53*J53)</f>
        <v>0</v>
      </c>
      <c r="V53" s="223">
        <f>IF(AND(A53="",F53=0),"",IF(F53=0,"Il manque le(s) % de rec. !",""))</f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>IF(A53="","",1)</f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>($B54*$B$7+$C54*$C$7)/100</f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>IF(ISTEXT(H54),"",(B54*$B$7/100)+(C54*$C$7/100))</f>
      </c>
      <c r="R54" s="222">
        <f>IF(OR(ISTEXT(H54),Q54=0),"",IF(Q54&lt;0.1,1,IF(Q54&lt;1,2,IF(Q54&lt;10,3,IF(Q54&lt;50,4,IF(Q54&gt;=50,5,""))))))</f>
      </c>
      <c r="S54" s="222">
        <f>IF(ISERROR(R54*I54),0,R54*I54)</f>
        <v>0</v>
      </c>
      <c r="T54" s="222">
        <f>IF(ISERROR(R54*I54*J54),0,R54*I54*J54)</f>
        <v>0</v>
      </c>
      <c r="U54" s="234">
        <f>IF(ISERROR(R54*J54),0,R54*J54)</f>
        <v>0</v>
      </c>
      <c r="V54" s="223">
        <f>IF(AND(A54="",F54=0),"",IF(F54=0,"Il manque le(s) % de rec. !",""))</f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>IF(A54="","",1)</f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>IF(ISTEXT(H55),"",(B55*$B$7/100)+(C55*$C$7/100))</f>
      </c>
      <c r="R55" s="222">
        <f>IF(OR(ISTEXT(H55),Q55=0),"",IF(Q55&lt;0.1,1,IF(Q55&lt;1,2,IF(Q55&lt;10,3,IF(Q55&lt;50,4,IF(Q55&gt;=50,5,""))))))</f>
      </c>
      <c r="S55" s="222">
        <f>IF(ISERROR(R55*I55),0,R55*I55)</f>
        <v>0</v>
      </c>
      <c r="T55" s="222">
        <f>IF(ISERROR(R55*I55*J55),0,R55*I55*J55)</f>
        <v>0</v>
      </c>
      <c r="U55" s="234">
        <f>IF(ISERROR(R55*J55),0,R55*J55)</f>
        <v>0</v>
      </c>
      <c r="V55" s="223">
        <f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>($B56*$B$7+$C56*$C$7)/100</f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>IF(ISTEXT(H56),"",(B56*$B$7/100)+(C56*$C$7/100))</f>
      </c>
      <c r="R56" s="222">
        <f>IF(OR(ISTEXT(H56),Q56=0),"",IF(Q56&lt;0.1,1,IF(Q56&lt;1,2,IF(Q56&lt;10,3,IF(Q56&lt;50,4,IF(Q56&gt;=50,5,""))))))</f>
      </c>
      <c r="S56" s="222">
        <f>IF(ISERROR(R56*I56),0,R56*I56)</f>
        <v>0</v>
      </c>
      <c r="T56" s="222">
        <f>IF(ISERROR(R56*I56*J56),0,R56*I56*J56)</f>
        <v>0</v>
      </c>
      <c r="U56" s="234">
        <f>IF(ISERROR(R56*J56),0,R56*J56)</f>
        <v>0</v>
      </c>
      <c r="V56" s="223">
        <f>IF(AND(A56="",F56=0),"",IF(F56=0,"Il manque le(s) % de rec. !",""))</f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>IF(A56="","",1)</f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>($B57*$B$7+$C57*$C$7)/100</f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>IF(ISTEXT(H57),"",(B57*$B$7/100)+(C57*$C$7/100))</f>
      </c>
      <c r="R57" s="222">
        <f>IF(OR(ISTEXT(H57),Q57=0),"",IF(Q57&lt;0.1,1,IF(Q57&lt;1,2,IF(Q57&lt;10,3,IF(Q57&lt;50,4,IF(Q57&gt;=50,5,""))))))</f>
      </c>
      <c r="S57" s="222">
        <f>IF(ISERROR(R57*I57),0,R57*I57)</f>
        <v>0</v>
      </c>
      <c r="T57" s="222">
        <f>IF(ISERROR(R57*I57*J57),0,R57*I57*J57)</f>
        <v>0</v>
      </c>
      <c r="U57" s="234">
        <f>IF(ISERROR(R57*J57),0,R57*J57)</f>
        <v>0</v>
      </c>
      <c r="V57" s="223">
        <f>IF(AND(A57="",F57=0),"",IF(F57=0,"Il manque le(s) % de rec. !",""))</f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>IF(A57="","",1)</f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>($B58*$B$7+$C58*$C$7)/100</f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>IF(ISTEXT(H58),"",(B58*$B$7/100)+(C58*$C$7/100))</f>
      </c>
      <c r="R58" s="222">
        <f>IF(OR(ISTEXT(H58),Q58=0),"",IF(Q58&lt;0.1,1,IF(Q58&lt;1,2,IF(Q58&lt;10,3,IF(Q58&lt;50,4,IF(Q58&gt;=50,5,""))))))</f>
      </c>
      <c r="S58" s="222">
        <f>IF(ISERROR(R58*I58),0,R58*I58)</f>
        <v>0</v>
      </c>
      <c r="T58" s="222">
        <f>IF(ISERROR(R58*I58*J58),0,R58*I58*J58)</f>
        <v>0</v>
      </c>
      <c r="U58" s="234">
        <f>IF(ISERROR(R58*J58),0,R58*J58)</f>
        <v>0</v>
      </c>
      <c r="V58" s="223">
        <f>IF(AND(A58="",F58=0),"",IF(F58=0,"Il manque le(s) % de rec. !",""))</f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>IF(A58="","",1)</f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>($B59*$B$7+$C59*$C$7)/100</f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>IF(ISTEXT(H59),"",(B59*$B$7/100)+(C59*$C$7/100))</f>
      </c>
      <c r="R59" s="222">
        <f>IF(OR(ISTEXT(H59),Q59=0),"",IF(Q59&lt;0.1,1,IF(Q59&lt;1,2,IF(Q59&lt;10,3,IF(Q59&lt;50,4,IF(Q59&gt;=50,5,""))))))</f>
      </c>
      <c r="S59" s="222">
        <f>IF(ISERROR(R59*I59),0,R59*I59)</f>
        <v>0</v>
      </c>
      <c r="T59" s="222">
        <f>IF(ISERROR(R59*I59*J59),0,R59*I59*J59)</f>
        <v>0</v>
      </c>
      <c r="U59" s="234">
        <f>IF(ISERROR(R59*J59),0,R59*J59)</f>
        <v>0</v>
      </c>
      <c r="V59" s="223">
        <f>IF(AND(A59="",F59=0),"",IF(F59=0,"Il manque le(s) % de rec. !",""))</f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>IF(A59="","",1)</f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>($B60*$B$7+$C60*$C$7)/100</f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>IF(ISTEXT(H60),"",(B60*$B$7/100)+(C60*$C$7/100))</f>
      </c>
      <c r="R60" s="222">
        <f>IF(OR(ISTEXT(H60),Q60=0),"",IF(Q60&lt;0.1,1,IF(Q60&lt;1,2,IF(Q60&lt;10,3,IF(Q60&lt;50,4,IF(Q60&gt;=50,5,""))))))</f>
      </c>
      <c r="S60" s="222">
        <f>IF(ISERROR(R60*I60),0,R60*I60)</f>
        <v>0</v>
      </c>
      <c r="T60" s="222">
        <f>IF(ISERROR(R60*I60*J60),0,R60*I60*J60)</f>
        <v>0</v>
      </c>
      <c r="U60" s="234">
        <f>IF(ISERROR(R60*J60),0,R60*J60)</f>
        <v>0</v>
      </c>
      <c r="V60" s="223">
        <f>IF(AND(A60="",F60=0),"",IF(F60=0,"Il manque le(s) % de rec. !",""))</f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>IF(A60="","",1)</f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>($B61*$B$7+$C61*$C$7)/100</f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>IF(ISTEXT(H61),"",(B61*$B$7/100)+(C61*$C$7/100))</f>
      </c>
      <c r="R61" s="222">
        <f>IF(OR(ISTEXT(H61),Q61=0),"",IF(Q61&lt;0.1,1,IF(Q61&lt;1,2,IF(Q61&lt;10,3,IF(Q61&lt;50,4,IF(Q61&gt;=50,5,""))))))</f>
      </c>
      <c r="S61" s="222">
        <f>IF(ISERROR(R61*I61),0,R61*I61)</f>
        <v>0</v>
      </c>
      <c r="T61" s="222">
        <f>IF(ISERROR(R61*I61*J61),0,R61*I61*J61)</f>
        <v>0</v>
      </c>
      <c r="U61" s="234">
        <f>IF(ISERROR(R61*J61),0,R61*J61)</f>
        <v>0</v>
      </c>
      <c r="V61" s="223">
        <f>IF(AND(A61="",F61=0),"",IF(F61=0,"Il manque le(s) % de rec. !",""))</f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>IF(A61="","",1)</f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>($B62*$B$7+$C62*$C$7)/100</f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>IF(ISTEXT(H62),"",(B62*$B$7/100)+(C62*$C$7/100))</f>
      </c>
      <c r="R62" s="222">
        <f>IF(OR(ISTEXT(H62),Q62=0),"",IF(Q62&lt;0.1,1,IF(Q62&lt;1,2,IF(Q62&lt;10,3,IF(Q62&lt;50,4,IF(Q62&gt;=50,5,""))))))</f>
      </c>
      <c r="S62" s="222">
        <f>IF(ISERROR(R62*I62),0,R62*I62)</f>
        <v>0</v>
      </c>
      <c r="T62" s="222">
        <f>IF(ISERROR(R62*I62*J62),0,R62*I62*J62)</f>
        <v>0</v>
      </c>
      <c r="U62" s="234">
        <f>IF(ISERROR(R62*J62),0,R62*J62)</f>
        <v>0</v>
      </c>
      <c r="V62" s="223">
        <f>IF(AND(A62="",F62=0),"",IF(F62=0,"Il manque le(s) % de rec. !",""))</f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>IF(A62="","",1)</f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aca="true" t="shared" si="0" ref="F63:F90">($B63*$B$7+$C63*$C$7)/100</f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aca="true" t="shared" si="1" ref="Q63:Q90">IF(ISTEXT(H63),"",(B63*$B$7/100)+(C63*$C$7/100))</f>
      </c>
      <c r="R63" s="222">
        <f aca="true" t="shared" si="2" ref="R63:R90">IF(OR(ISTEXT(H63),Q63=0),"",IF(Q63&lt;0.1,1,IF(Q63&lt;1,2,IF(Q63&lt;10,3,IF(Q63&lt;50,4,IF(Q63&gt;=50,5,""))))))</f>
      </c>
      <c r="S63" s="222">
        <f aca="true" t="shared" si="3" ref="S63:S90">IF(ISERROR(R63*I63),0,R63*I63)</f>
        <v>0</v>
      </c>
      <c r="T63" s="222">
        <f aca="true" t="shared" si="4" ref="T63:T90">IF(ISERROR(R63*I63*J63),0,R63*I63*J63)</f>
        <v>0</v>
      </c>
      <c r="U63" s="234">
        <f aca="true" t="shared" si="5" ref="U63:U90">IF(ISERROR(R63*J63),0,R63*J63)</f>
        <v>0</v>
      </c>
      <c r="V63" s="223">
        <f aca="true" t="shared" si="6" ref="V63:V90">IF(AND(A63="",F63=0),"",IF(F63=0,"Il manque le(s) % de rec. !",""))</f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aca="true" t="shared" si="7" ref="BB63:BB90">IF(A63="","",1)</f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94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Rhône</v>
      </c>
      <c r="B84" s="265" t="str">
        <f>C3</f>
        <v>Rhône à Ruffieux</v>
      </c>
      <c r="C84" s="266">
        <f>A4</f>
        <v>41887</v>
      </c>
      <c r="D84" s="267">
        <f>IF(ISERROR(SUM($T$23:$T$82)/SUM($U$23:$U$82)),"",SUM($T$23:$T$82)/SUM($U$23:$U$82))</f>
        <v>9.25</v>
      </c>
      <c r="E84" s="268">
        <f>N13</f>
        <v>16</v>
      </c>
      <c r="F84" s="265">
        <f>N14</f>
        <v>12</v>
      </c>
      <c r="G84" s="265">
        <f>N15</f>
        <v>4</v>
      </c>
      <c r="H84" s="265">
        <f>N16</f>
        <v>8</v>
      </c>
      <c r="I84" s="265">
        <f>N17</f>
        <v>0</v>
      </c>
      <c r="J84" s="269">
        <f>N8</f>
        <v>9.25</v>
      </c>
      <c r="K84" s="267">
        <f>N9</f>
        <v>2.947456530637899</v>
      </c>
      <c r="L84" s="268">
        <f>N10</f>
        <v>4</v>
      </c>
      <c r="M84" s="268">
        <f>N11</f>
        <v>14</v>
      </c>
      <c r="N84" s="267">
        <f>O8</f>
        <v>1.6666666666666667</v>
      </c>
      <c r="O84" s="267">
        <f>O9</f>
        <v>0.4714045207910317</v>
      </c>
      <c r="P84" s="268">
        <f>O10</f>
        <v>1</v>
      </c>
      <c r="Q84" s="268">
        <f>O11</f>
        <v>2</v>
      </c>
      <c r="R84" s="268">
        <f>F21</f>
        <v>7.523818872502077</v>
      </c>
      <c r="S84" s="268">
        <f>K11</f>
        <v>0</v>
      </c>
      <c r="T84" s="268">
        <f>K12</f>
        <v>5</v>
      </c>
      <c r="U84" s="268">
        <f>K13</f>
        <v>1</v>
      </c>
      <c r="V84" s="270">
        <f>K14</f>
        <v>0</v>
      </c>
      <c r="W84" s="271">
        <f>K15</f>
        <v>10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95</v>
      </c>
      <c r="R86" s="8"/>
      <c r="S86" s="223"/>
      <c r="T86" s="8"/>
      <c r="U86" s="8"/>
      <c r="V86" s="8"/>
    </row>
    <row r="87" spans="16:22" ht="12.75" hidden="1">
      <c r="P87" s="8"/>
      <c r="Q87" s="8" t="s">
        <v>96</v>
      </c>
      <c r="R87" s="8"/>
      <c r="S87" s="223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97</v>
      </c>
      <c r="R88" s="8"/>
      <c r="S88" s="223">
        <f>VLOOKUP((S87),($S$23:$U$82),2,0)</f>
        <v>60</v>
      </c>
      <c r="T88" s="8"/>
      <c r="U88" s="8"/>
      <c r="V88" s="8"/>
    </row>
    <row r="89" spans="17:20" ht="12.75" hidden="1">
      <c r="Q89" s="8" t="s">
        <v>98</v>
      </c>
      <c r="R89" s="8"/>
      <c r="S89" s="223">
        <f>VLOOKUP((S87),($S$23:$U$82),3,0)</f>
        <v>6</v>
      </c>
      <c r="T89" s="8"/>
    </row>
    <row r="90" spans="17:20" ht="12.75">
      <c r="Q90" s="8" t="s">
        <v>99</v>
      </c>
      <c r="R90" s="8"/>
      <c r="S90" s="274">
        <f>IF(ISERROR(SUM($T$23:$T$82)/SUM($U$23:$U$82)),"",(SUM($T$23:$T$82)-S88)/(SUM($U$23:$U$82)-S89))</f>
        <v>9.076923076923077</v>
      </c>
      <c r="T90" s="8"/>
    </row>
    <row r="91" spans="17:21" ht="12.75">
      <c r="Q91" s="222" t="s">
        <v>100</v>
      </c>
      <c r="R91" s="222"/>
      <c r="S91" s="222" t="str">
        <f>INDEX('[1]liste reference'!$A$8:$A$904,$T$91)</f>
        <v>RANFLU</v>
      </c>
      <c r="T91" s="8">
        <f>IF(ISERROR(MATCH($S$93,'[1]liste reference'!$A$8:$A$904,0)),MATCH($S$93,'[1]liste reference'!$B$8:$B$904,0),(MATCH($S$93,'[1]liste reference'!$A$8:$A$904,0)))</f>
        <v>456</v>
      </c>
      <c r="U91" s="263"/>
    </row>
    <row r="92" spans="17:20" ht="12.75">
      <c r="Q92" s="8" t="s">
        <v>101</v>
      </c>
      <c r="R92" s="8"/>
      <c r="S92" s="8">
        <f>MATCH(S87,$S$23:$S$82,0)</f>
        <v>10</v>
      </c>
      <c r="T92" s="8"/>
    </row>
    <row r="93" spans="17:20" ht="12.75">
      <c r="Q93" s="222" t="s">
        <v>102</v>
      </c>
      <c r="R93" s="8"/>
      <c r="S93" s="222" t="str">
        <f>INDEX($A$23:$A$82,$S$92)</f>
        <v>RANFLU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2015-04-17T15:41:55Z</dcterms:created>
  <dcterms:modified xsi:type="dcterms:W3CDTF">2015-04-17T15:42:01Z</dcterms:modified>
  <cp:category/>
  <cp:version/>
  <cp:contentType/>
  <cp:contentStatus/>
</cp:coreProperties>
</file>