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<sst xmlns="http://schemas.openxmlformats.org/spreadsheetml/2006/main" count="219" uniqueCount="99">
  <si>
    <t>Relevés floristiques aquatiques - IBMR</t>
  </si>
  <si>
    <t xml:space="preserve">Formulaire modèle GIS Macrophytes v 3.3 - novembre 2013  </t>
  </si>
  <si>
    <t>SAGE</t>
  </si>
  <si>
    <t>M.GAUTHIER S.RENAHY</t>
  </si>
  <si>
    <t>conforme AFNOR T90-395 oct. 2003</t>
  </si>
  <si>
    <t>Furan</t>
  </si>
  <si>
    <t>Furans à La Burbanche</t>
  </si>
  <si>
    <t>06076720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</si>
  <si>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</si>
  <si>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</si>
  <si>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</si>
  <si>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</si>
  <si>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</si>
  <si>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</si>
  <si>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</si>
  <si>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</si>
  <si>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</si>
  <si>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</si>
  <si>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radier</t>
  </si>
  <si>
    <t>plat lentique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</si>
  <si>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</si>
  <si>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</si>
  <si>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</si>
  <si>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</si>
  <si>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</si>
  <si>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</si>
  <si>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</si>
  <si>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</si>
  <si>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</si>
  <si>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</si>
  <si>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</si>
  <si>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</si>
  <si>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</si>
  <si>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 xml:space="preserve"> 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</si>
  <si>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</si>
  <si>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</si>
  <si>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</si>
  <si>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</si>
  <si>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</si>
  <si>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</si>
  <si>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</si>
  <si>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</si>
  <si>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</si>
  <si>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</si>
  <si>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</si>
  <si>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</si>
  <si>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</si>
  <si>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</si>
  <si>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</si>
  <si>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</si>
  <si>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</si>
  <si>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</si>
  <si>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</si>
  <si>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</si>
  <si>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</si>
  <si>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</si>
  <si>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</si>
  <si>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</si>
  <si>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</si>
  <si>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</si>
  <si>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</si>
  <si>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</si>
  <si>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</si>
  <si>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</si>
  <si>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</si>
  <si>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</si>
  <si>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</si>
  <si>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</si>
  <si>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</si>
  <si>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</si>
  <si>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</si>
  <si>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</si>
  <si>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</si>
  <si>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</si>
  <si>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</si>
  <si>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</si>
  <si>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</si>
  <si>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</si>
  <si>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</si>
  <si>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</si>
  <si>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BATSPX</t>
  </si>
  <si>
    <t>CLASPX</t>
  </si>
  <si>
    <t>LYNSPX</t>
  </si>
  <si>
    <t>MICSPX</t>
  </si>
  <si>
    <t>VAUSPX</t>
  </si>
  <si>
    <t>PELEND</t>
  </si>
  <si>
    <t>AMBRIP</t>
  </si>
  <si>
    <t>FISCRA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</si>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</sst>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FUBUR_18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37" sqref="A37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10.193548387096774</v>
      </c>
      <c r="M5" s="52"/>
      <c r="N5" s="53" t="s">
        <v>16</v>
      </c>
      <c r="O5" s="54">
        <v>9.04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40</v>
      </c>
      <c r="C7" s="66">
        <v>60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10.2</v>
      </c>
      <c r="O8" s="84">
        <f>IF(ISERROR(AVERAGE(J23:J82)),"      -",AVERAGE(J23:J82))</f>
        <v>1.6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26.07</v>
      </c>
      <c r="C9" s="87">
        <v>9.03</v>
      </c>
      <c r="D9" s="88"/>
      <c r="E9" s="88"/>
      <c r="F9" s="89">
        <f>($B9*$B$7+$C9*$C$7)/100</f>
        <v>15.845999999999998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3.867815921162743</v>
      </c>
      <c r="O9" s="84">
        <f>IF(ISERROR(STDEVP(J23:J82)),"      -",STDEVP(J23:J82))</f>
        <v>0.4898979485566356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33</v>
      </c>
      <c r="D10" s="100"/>
      <c r="E10" s="100"/>
      <c r="F10" s="89"/>
      <c r="G10" s="90"/>
      <c r="H10" s="101"/>
      <c r="I10" s="102"/>
      <c r="J10" s="103" t="s">
        <v>34</v>
      </c>
      <c r="K10" s="103"/>
      <c r="L10" s="104"/>
      <c r="M10" s="105" t="s">
        <v>35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36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37</v>
      </c>
      <c r="J11" s="115"/>
      <c r="K11" s="116">
        <f>COUNTIF($G$23:$G$82,"=HET")</f>
        <v>0</v>
      </c>
      <c r="L11" s="117"/>
      <c r="M11" s="105" t="s">
        <v>38</v>
      </c>
      <c r="N11" s="106">
        <f>MAX(I23:I82)</f>
        <v>16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39</v>
      </c>
      <c r="B12" s="119">
        <v>6</v>
      </c>
      <c r="C12" s="120">
        <v>5.03</v>
      </c>
      <c r="D12" s="111"/>
      <c r="E12" s="111"/>
      <c r="F12" s="112">
        <f>($B12*$B$7+$C12*$C$7)/100</f>
        <v>5.417999999999999</v>
      </c>
      <c r="G12" s="121"/>
      <c r="H12" s="67"/>
      <c r="I12" s="122" t="s">
        <v>40</v>
      </c>
      <c r="J12" s="123"/>
      <c r="K12" s="116">
        <f>COUNTIF($G$23:$G$82,"=ALG")</f>
        <v>5</v>
      </c>
      <c r="L12" s="124"/>
      <c r="M12" s="125"/>
      <c r="N12" s="126" t="s">
        <v>34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41</v>
      </c>
      <c r="B13" s="119">
        <v>20.07</v>
      </c>
      <c r="C13" s="120">
        <v>4</v>
      </c>
      <c r="D13" s="111"/>
      <c r="E13" s="111"/>
      <c r="F13" s="112">
        <f>($B13*$B$7+$C13*$C$7)/100</f>
        <v>10.427999999999999</v>
      </c>
      <c r="G13" s="121"/>
      <c r="H13" s="67"/>
      <c r="I13" s="129" t="s">
        <v>42</v>
      </c>
      <c r="J13" s="123"/>
      <c r="K13" s="116">
        <f>COUNTIF($G$23:$G$82,"=BRm")+COUNTIF($G$23:$G$82,"=BRh")</f>
        <v>6</v>
      </c>
      <c r="L13" s="117"/>
      <c r="M13" s="130" t="s">
        <v>43</v>
      </c>
      <c r="N13" s="131">
        <f>COUNTIF(F23:F82,"&gt;0")</f>
        <v>11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44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45</v>
      </c>
      <c r="J14" s="123"/>
      <c r="K14" s="116">
        <f>COUNTIF($G$23:$G$82,"=PTE")+COUNTIF($G$23:$G$82,"=LIC")</f>
        <v>0</v>
      </c>
      <c r="L14" s="117"/>
      <c r="M14" s="134" t="s">
        <v>46</v>
      </c>
      <c r="N14" s="135">
        <f>COUNTIF($I$23:$I$82,"&gt;-1")</f>
        <v>10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47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48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49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50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51</v>
      </c>
      <c r="N16" s="141">
        <f>COUNTIF(J23:J82,"=2")</f>
        <v>6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52</v>
      </c>
      <c r="B17" s="119">
        <v>26.07</v>
      </c>
      <c r="C17" s="120">
        <v>9.03</v>
      </c>
      <c r="D17" s="111"/>
      <c r="E17" s="111"/>
      <c r="F17" s="147"/>
      <c r="G17" s="112">
        <f>($B17*$B$7+$C17*$C$7)/100</f>
        <v>15.845999999999998</v>
      </c>
      <c r="H17" s="67"/>
      <c r="I17" s="129"/>
      <c r="J17" s="123"/>
      <c r="K17" s="146"/>
      <c r="L17" s="117"/>
      <c r="M17" s="140" t="s">
        <v>53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54</v>
      </c>
      <c r="B18" s="150"/>
      <c r="C18" s="151"/>
      <c r="D18" s="111"/>
      <c r="E18" s="152" t="s">
        <v>55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56</v>
      </c>
      <c r="W18" s="155" t="s">
        <v>56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15.845999999999998</v>
      </c>
      <c r="G19" s="161">
        <f>SUM(G16:G18)</f>
        <v>15.845999999999998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56</v>
      </c>
      <c r="W19" s="155" t="s">
        <v>56</v>
      </c>
    </row>
    <row r="20" spans="1:23" ht="12.75">
      <c r="A20" s="169" t="s">
        <v>57</v>
      </c>
      <c r="B20" s="170">
        <f>SUM(B23:B82)</f>
        <v>26.070000000000007</v>
      </c>
      <c r="C20" s="171">
        <f>SUM(C23:C82)</f>
        <v>9.03</v>
      </c>
      <c r="D20" s="172"/>
      <c r="E20" s="173" t="s">
        <v>55</v>
      </c>
      <c r="F20" s="174">
        <f>($B20*$B$7+$C20*$C$7)/100</f>
        <v>15.846000000000002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58</v>
      </c>
      <c r="R20" s="8"/>
      <c r="S20" s="8"/>
      <c r="T20" s="8"/>
      <c r="U20" s="8"/>
      <c r="V20" s="8" t="s">
        <v>56</v>
      </c>
      <c r="W20" s="155" t="s">
        <v>56</v>
      </c>
    </row>
    <row r="21" spans="1:23" ht="12.75">
      <c r="A21" s="183" t="s">
        <v>59</v>
      </c>
      <c r="B21" s="184">
        <f>B20*B7/100</f>
        <v>10.428000000000003</v>
      </c>
      <c r="C21" s="184">
        <f>C20*C7/100</f>
        <v>5.417999999999999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15.846000000000002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60</v>
      </c>
      <c r="R21" s="8"/>
      <c r="S21" s="8"/>
      <c r="T21" s="8"/>
      <c r="U21" s="8"/>
      <c r="V21" s="8" t="s">
        <v>56</v>
      </c>
      <c r="W21" s="155" t="s">
        <v>56</v>
      </c>
    </row>
    <row r="22" spans="1:29" ht="12.75">
      <c r="A22" s="194" t="s">
        <v>61</v>
      </c>
      <c r="B22" s="195" t="s">
        <v>62</v>
      </c>
      <c r="C22" s="196" t="s">
        <v>62</v>
      </c>
      <c r="D22" s="143"/>
      <c r="E22" s="143"/>
      <c r="F22" s="197" t="s">
        <v>63</v>
      </c>
      <c r="G22" s="198" t="s">
        <v>64</v>
      </c>
      <c r="H22" s="143"/>
      <c r="I22" s="199" t="s">
        <v>65</v>
      </c>
      <c r="J22" s="199" t="s">
        <v>66</v>
      </c>
      <c r="K22" s="200" t="s">
        <v>67</v>
      </c>
      <c r="L22" s="200"/>
      <c r="M22" s="200"/>
      <c r="N22" s="200"/>
      <c r="O22" s="201"/>
      <c r="P22" s="202" t="s">
        <v>68</v>
      </c>
      <c r="Q22" s="203" t="s">
        <v>69</v>
      </c>
      <c r="R22" s="204" t="s">
        <v>70</v>
      </c>
      <c r="S22" s="205" t="s">
        <v>71</v>
      </c>
      <c r="T22" s="206" t="s">
        <v>72</v>
      </c>
      <c r="U22" s="207" t="s">
        <v>73</v>
      </c>
      <c r="V22" s="205" t="s">
        <v>74</v>
      </c>
      <c r="Y22" s="8" t="s">
        <v>75</v>
      </c>
      <c r="Z22" s="8" t="s">
        <v>76</v>
      </c>
      <c r="AA22" s="208" t="s">
        <v>77</v>
      </c>
      <c r="AB22" s="208" t="s">
        <v>78</v>
      </c>
      <c r="AC22" s="209" t="s">
        <v>79</v>
      </c>
    </row>
    <row r="23" spans="1:54" ht="12.75">
      <c r="A23" s="210" t="s">
        <v>80</v>
      </c>
      <c r="B23" s="211">
        <v>0</v>
      </c>
      <c r="C23" s="212">
        <v>0.01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Batrachospermum sp.</v>
      </c>
      <c r="E23" s="213" t="e">
        <f>IF(D23="",,VLOOKUP(D23,D$22:D22,1,0))</f>
        <v>#N/A</v>
      </c>
      <c r="F23" s="214">
        <f aca="true" t="shared" si="0" ref="F23:F82">($B23*$B$7+$C23*$C$7)/100</f>
        <v>0.006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Batrachospermum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1155</v>
      </c>
      <c r="Q23" s="221">
        <f aca="true" t="shared" si="1" ref="Q23:Q82">IF(ISTEXT(H23),"",(B23*$B$7/100)+(C23*$C$7/100))</f>
        <v>0.006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16</v>
      </c>
      <c r="T23" s="222">
        <f aca="true" t="shared" si="4" ref="T23:T82">IF(ISERROR(R23*I23*J23),0,R23*I23*J23)</f>
        <v>32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56</v>
      </c>
      <c r="Y23" s="225" t="str">
        <f>IF(A23="new.cod","NEWCOD",IF(AND((Z23=""),ISTEXT(A23)),A23,IF(Z23="","",INDEX('[1]liste reference'!$A$8:$A$904,Z23))))</f>
        <v>BATSPX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7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81</v>
      </c>
      <c r="B24" s="229">
        <v>6.000000000000001</v>
      </c>
      <c r="C24" s="230">
        <v>3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31" t="e">
        <f>IF(D24="",,VLOOKUP(D24,D$22:D23,1,0))</f>
        <v>#N/A</v>
      </c>
      <c r="F24" s="232">
        <f t="shared" si="0"/>
        <v>4.2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21">
        <f t="shared" si="1"/>
        <v>4.2</v>
      </c>
      <c r="R24" s="222">
        <f t="shared" si="2"/>
        <v>3</v>
      </c>
      <c r="S24" s="222">
        <f t="shared" si="3"/>
        <v>18</v>
      </c>
      <c r="T24" s="222">
        <f t="shared" si="4"/>
        <v>18</v>
      </c>
      <c r="U24" s="234">
        <f t="shared" si="5"/>
        <v>3</v>
      </c>
      <c r="V24" s="223">
        <f t="shared" si="6"/>
      </c>
      <c r="W24" s="224" t="s">
        <v>56</v>
      </c>
      <c r="Y24" s="22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82</v>
      </c>
      <c r="B25" s="229">
        <v>0</v>
      </c>
      <c r="C25" s="230">
        <v>0.01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Lyngbya sp.</v>
      </c>
      <c r="E25" s="231" t="e">
        <f>IF(D25="",,VLOOKUP(D25,D$22:D24,1,0))</f>
        <v>#N/A</v>
      </c>
      <c r="F25" s="232">
        <f t="shared" si="0"/>
        <v>0.006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Lyngbya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1107</v>
      </c>
      <c r="Q25" s="221">
        <f t="shared" si="1"/>
        <v>0.006</v>
      </c>
      <c r="R25" s="222">
        <f t="shared" si="2"/>
        <v>1</v>
      </c>
      <c r="S25" s="222">
        <f t="shared" si="3"/>
        <v>10</v>
      </c>
      <c r="T25" s="222">
        <f t="shared" si="4"/>
        <v>20</v>
      </c>
      <c r="U25" s="234">
        <f t="shared" si="5"/>
        <v>2</v>
      </c>
      <c r="V25" s="223">
        <f t="shared" si="6"/>
      </c>
      <c r="W25" s="224" t="s">
        <v>56</v>
      </c>
      <c r="Y25" s="225" t="str">
        <f>IF(A25="new.cod","NEWCOD",IF(AND((Z25=""),ISTEXT(A25)),A25,IF(Z25="","",INDEX('[1]liste reference'!$A$8:$A$904,Z25))))</f>
        <v>LYNSPX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35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83</v>
      </c>
      <c r="B26" s="229">
        <v>0</v>
      </c>
      <c r="C26" s="230">
        <v>0.4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Microspora sp.</v>
      </c>
      <c r="E26" s="231" t="e">
        <f>IF(D26="",,VLOOKUP(D26,D$22:D25,1,0))</f>
        <v>#N/A</v>
      </c>
      <c r="F26" s="232">
        <f t="shared" si="0"/>
        <v>0.24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Microspora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1132</v>
      </c>
      <c r="Q26" s="221">
        <f t="shared" si="1"/>
        <v>0.24</v>
      </c>
      <c r="R26" s="222">
        <f t="shared" si="2"/>
        <v>2</v>
      </c>
      <c r="S26" s="222">
        <f t="shared" si="3"/>
        <v>24</v>
      </c>
      <c r="T26" s="222">
        <f t="shared" si="4"/>
        <v>48</v>
      </c>
      <c r="U26" s="234">
        <f t="shared" si="5"/>
        <v>4</v>
      </c>
      <c r="V26" s="223">
        <f t="shared" si="6"/>
      </c>
      <c r="W26" s="224" t="s">
        <v>56</v>
      </c>
      <c r="Y26" s="225" t="str">
        <f>IF(A26="new.cod","NEWCOD",IF(AND((Z26=""),ISTEXT(A26)),A26,IF(Z26="","",INDEX('[1]liste reference'!$A$8:$A$904,Z26))))</f>
        <v>MICSPX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41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84</v>
      </c>
      <c r="B27" s="229">
        <v>0</v>
      </c>
      <c r="C27" s="230">
        <v>1.61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31" t="e">
        <f>IF(D27="",,VLOOKUP(D27,D$22:D26,1,0))</f>
        <v>#N/A</v>
      </c>
      <c r="F27" s="232">
        <f t="shared" si="0"/>
        <v>0.9660000000000001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21">
        <f t="shared" si="1"/>
        <v>0.9660000000000001</v>
      </c>
      <c r="R27" s="222">
        <f t="shared" si="2"/>
        <v>2</v>
      </c>
      <c r="S27" s="222">
        <f t="shared" si="3"/>
        <v>8</v>
      </c>
      <c r="T27" s="222">
        <f t="shared" si="4"/>
        <v>8</v>
      </c>
      <c r="U27" s="234">
        <f t="shared" si="5"/>
        <v>2</v>
      </c>
      <c r="V27" s="223">
        <f t="shared" si="6"/>
      </c>
      <c r="W27" s="235" t="s">
        <v>56</v>
      </c>
      <c r="Y27" s="22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85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Pellia endiviifolia</v>
      </c>
      <c r="E28" s="231" t="e">
        <f>IF(D28="",,VLOOKUP(D28,D$22:D27,1,0))</f>
        <v>#N/A</v>
      </c>
      <c r="F28" s="232">
        <f t="shared" si="0"/>
        <v>0.004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BRh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4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Pellia endiviifolia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1197</v>
      </c>
      <c r="Q28" s="221">
        <f t="shared" si="1"/>
        <v>0.004</v>
      </c>
      <c r="R28" s="222">
        <f t="shared" si="2"/>
        <v>1</v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56</v>
      </c>
      <c r="Y28" s="225" t="str">
        <f>IF(A28="new.cod","NEWCOD",IF(AND((Z28=""),ISTEXT(A28)),A28,IF(Z28="","",INDEX('[1]liste reference'!$A$8:$A$904,Z28))))</f>
        <v>PELEND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120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86</v>
      </c>
      <c r="B29" s="229">
        <v>3.0000000000000004</v>
      </c>
      <c r="C29" s="230">
        <v>0.5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riparium</v>
      </c>
      <c r="E29" s="231" t="e">
        <f>IF(D29="",,VLOOKUP(D29,D$22:D28,1,0))</f>
        <v>#N/A</v>
      </c>
      <c r="F29" s="232">
        <f t="shared" si="0"/>
        <v>1.5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riparium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21">
        <f t="shared" si="1"/>
        <v>1.5000000000000002</v>
      </c>
      <c r="R29" s="222">
        <f t="shared" si="2"/>
        <v>3</v>
      </c>
      <c r="S29" s="222">
        <f t="shared" si="3"/>
        <v>15</v>
      </c>
      <c r="T29" s="222">
        <f t="shared" si="4"/>
        <v>30</v>
      </c>
      <c r="U29" s="234">
        <f t="shared" si="5"/>
        <v>6</v>
      </c>
      <c r="V29" s="223">
        <f t="shared" si="6"/>
      </c>
      <c r="W29" s="224" t="s">
        <v>56</v>
      </c>
      <c r="X29" s="224"/>
      <c r="Y29" s="225" t="str">
        <f>IF(A29="new.cod","NEWCOD",IF(AND((Z29=""),ISTEXT(A29)),A29,IF(Z29="","",INDEX('[1]liste reference'!$A$8:$A$904,Z29))))</f>
        <v>AMBRIP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148</v>
      </c>
      <c r="AA29" s="226"/>
      <c r="AB29" s="227"/>
      <c r="AC29" s="227"/>
      <c r="BB29" s="8">
        <f t="shared" si="7"/>
        <v>1</v>
      </c>
    </row>
    <row r="30" spans="1:54" ht="12.75">
      <c r="A30" s="228" t="s">
        <v>16</v>
      </c>
      <c r="B30" s="229">
        <v>12.000000000000002</v>
      </c>
      <c r="C30" s="230">
        <v>3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aquaticus</v>
      </c>
      <c r="E30" s="231" t="e">
        <f>IF(D30="",,VLOOKUP(D30,D$22:D29,1,0))</f>
        <v>#N/A</v>
      </c>
      <c r="F30" s="232">
        <f t="shared" si="0"/>
        <v>6.6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aquaticus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1318</v>
      </c>
      <c r="Q30" s="221">
        <f t="shared" si="1"/>
        <v>6.6000000000000005</v>
      </c>
      <c r="R30" s="222">
        <f t="shared" si="2"/>
        <v>3</v>
      </c>
      <c r="S30" s="222">
        <f t="shared" si="3"/>
        <v>45</v>
      </c>
      <c r="T30" s="222">
        <f t="shared" si="4"/>
        <v>90</v>
      </c>
      <c r="U30" s="234">
        <f t="shared" si="5"/>
        <v>6</v>
      </c>
      <c r="V30" s="223">
        <f t="shared" si="6"/>
      </c>
      <c r="W30" s="224" t="s">
        <v>56</v>
      </c>
      <c r="Y30" s="225" t="str">
        <f>IF(A30="new.cod","NEWCOD",IF(AND((Z30=""),ISTEXT(A30)),A30,IF(Z30="","",INDEX('[1]liste reference'!$A$8:$A$904,Z30))))</f>
        <v>CINAQU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170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87</v>
      </c>
      <c r="B31" s="229">
        <v>0.01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Fissidens crassipes</v>
      </c>
      <c r="E31" s="231" t="e">
        <f>IF(D31="",,VLOOKUP(D31,D$22:D30,1,0))</f>
        <v>#N/A</v>
      </c>
      <c r="F31" s="232">
        <f t="shared" si="0"/>
        <v>0.004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Fissidens crassipes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1294</v>
      </c>
      <c r="Q31" s="221">
        <f t="shared" si="1"/>
        <v>0.004</v>
      </c>
      <c r="R31" s="222">
        <f t="shared" si="2"/>
        <v>1</v>
      </c>
      <c r="S31" s="222">
        <f t="shared" si="3"/>
        <v>12</v>
      </c>
      <c r="T31" s="222">
        <f t="shared" si="4"/>
        <v>24</v>
      </c>
      <c r="U31" s="234">
        <f t="shared" si="5"/>
        <v>2</v>
      </c>
      <c r="V31" s="223">
        <f t="shared" si="6"/>
      </c>
      <c r="W31" s="224" t="s">
        <v>56</v>
      </c>
      <c r="Y31" s="225" t="str">
        <f>IF(A31="new.cod","NEWCOD",IF(AND((Z31=""),ISTEXT(A31)),A31,IF(Z31="","",INDEX('[1]liste reference'!$A$8:$A$904,Z31))))</f>
        <v>FISCRA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197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88</v>
      </c>
      <c r="B32" s="229">
        <v>0.05000000000000001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Fontinalis antipyretica</v>
      </c>
      <c r="E32" s="231" t="e">
        <f>IF(D32="",,VLOOKUP(D32,D$22:D31,1,0))</f>
        <v>#N/A</v>
      </c>
      <c r="F32" s="232">
        <f t="shared" si="0"/>
        <v>0.020000000000000004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Fontinalis antipyretica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1310</v>
      </c>
      <c r="Q32" s="221">
        <f t="shared" si="1"/>
        <v>0.020000000000000004</v>
      </c>
      <c r="R32" s="222">
        <f t="shared" si="2"/>
        <v>1</v>
      </c>
      <c r="S32" s="222">
        <f t="shared" si="3"/>
        <v>10</v>
      </c>
      <c r="T32" s="222">
        <f t="shared" si="4"/>
        <v>10</v>
      </c>
      <c r="U32" s="234">
        <f t="shared" si="5"/>
        <v>1</v>
      </c>
      <c r="V32" s="223">
        <f t="shared" si="6"/>
      </c>
      <c r="W32" s="224" t="s">
        <v>56</v>
      </c>
      <c r="Y32" s="225" t="str">
        <f>IF(A32="new.cod","NEWCOD",IF(AND((Z32=""),ISTEXT(A32)),A32,IF(Z32="","",INDEX('[1]liste reference'!$A$8:$A$904,Z32))))</f>
        <v>FONANT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210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89</v>
      </c>
      <c r="B33" s="229">
        <v>5</v>
      </c>
      <c r="C33" s="230">
        <v>0.5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Rhynchostegium riparioides</v>
      </c>
      <c r="E33" s="231" t="e">
        <f>IF(D33="",,VLOOKUP(D33,D$22:D32,1,0))</f>
        <v>#N/A</v>
      </c>
      <c r="F33" s="232">
        <f t="shared" si="0"/>
        <v>2.3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Rhynchostegium riparioides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1268</v>
      </c>
      <c r="Q33" s="221">
        <f t="shared" si="1"/>
        <v>2.3</v>
      </c>
      <c r="R33" s="222">
        <f t="shared" si="2"/>
        <v>3</v>
      </c>
      <c r="S33" s="222">
        <f t="shared" si="3"/>
        <v>36</v>
      </c>
      <c r="T33" s="222">
        <f t="shared" si="4"/>
        <v>36</v>
      </c>
      <c r="U33" s="234">
        <f t="shared" si="5"/>
        <v>3</v>
      </c>
      <c r="V33" s="223">
        <f t="shared" si="6"/>
      </c>
      <c r="W33" s="224" t="s">
        <v>56</v>
      </c>
      <c r="Y33" s="225" t="str">
        <f>IF(A33="new.cod","NEWCOD",IF(AND((Z33=""),ISTEXT(A33)),A33,IF(Z33="","",INDEX('[1]liste reference'!$A$8:$A$904,Z33))))</f>
        <v>RHYRIP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252</v>
      </c>
      <c r="AA33" s="226"/>
      <c r="AB33" s="227"/>
      <c r="AC33" s="227"/>
      <c r="BB33" s="8">
        <f t="shared" si="7"/>
        <v>1</v>
      </c>
    </row>
    <row r="34" spans="1:54" ht="12.75">
      <c r="A34" s="228" t="s">
        <v>56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56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56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56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56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56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56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56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56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56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56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56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56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56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56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56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56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56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56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56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56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56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56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56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56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56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56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56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56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56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56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56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56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56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56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56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56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56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56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56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56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56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56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56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56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56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56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56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56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56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56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56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56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56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56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56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56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56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56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56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56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56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56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56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56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56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56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56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56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56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56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56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56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56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56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56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56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56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56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56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56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56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56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56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56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56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56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56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56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56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56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56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56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56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56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56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56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56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Furan</v>
      </c>
      <c r="B84" s="265" t="str">
        <f>C3</f>
        <v>Furans à La Burbanche</v>
      </c>
      <c r="C84" s="266">
        <f>A4</f>
        <v>41808</v>
      </c>
      <c r="D84" s="267">
        <f>IF(ISERROR(SUM($T$23:$T$82)/SUM($U$23:$U$82)),"",SUM($T$23:$T$82)/SUM($U$23:$U$82))</f>
        <v>10.193548387096774</v>
      </c>
      <c r="E84" s="268">
        <f>N13</f>
        <v>11</v>
      </c>
      <c r="F84" s="265">
        <f>N14</f>
        <v>10</v>
      </c>
      <c r="G84" s="265">
        <f>N15</f>
        <v>4</v>
      </c>
      <c r="H84" s="265">
        <f>N16</f>
        <v>6</v>
      </c>
      <c r="I84" s="265">
        <f>N17</f>
        <v>0</v>
      </c>
      <c r="J84" s="269">
        <f>N8</f>
        <v>10.2</v>
      </c>
      <c r="K84" s="267">
        <f>N9</f>
        <v>3.867815921162743</v>
      </c>
      <c r="L84" s="268">
        <f>N10</f>
        <v>4</v>
      </c>
      <c r="M84" s="268">
        <f>N11</f>
        <v>16</v>
      </c>
      <c r="N84" s="267">
        <f>O8</f>
        <v>1.6</v>
      </c>
      <c r="O84" s="267">
        <f>O9</f>
        <v>0.4898979485566356</v>
      </c>
      <c r="P84" s="268">
        <f>O10</f>
        <v>1</v>
      </c>
      <c r="Q84" s="268">
        <f>O11</f>
        <v>2</v>
      </c>
      <c r="R84" s="268">
        <f>F21</f>
        <v>15.846000000000002</v>
      </c>
      <c r="S84" s="268">
        <f>K11</f>
        <v>0</v>
      </c>
      <c r="T84" s="268">
        <f>K12</f>
        <v>5</v>
      </c>
      <c r="U84" s="268">
        <f>K13</f>
        <v>6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91</v>
      </c>
      <c r="R86" s="8"/>
      <c r="S86" s="223"/>
      <c r="T86" s="8"/>
      <c r="U86" s="8"/>
      <c r="V86" s="8"/>
    </row>
    <row r="87" spans="16:22" ht="12.75" hidden="1">
      <c r="P87" s="8"/>
      <c r="Q87" s="8" t="s">
        <v>92</v>
      </c>
      <c r="R87" s="8"/>
      <c r="S87" s="22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93</v>
      </c>
      <c r="R88" s="8"/>
      <c r="S88" s="223">
        <f>VLOOKUP((S87),($S$23:$U$82),2,0)</f>
        <v>90</v>
      </c>
      <c r="T88" s="8"/>
      <c r="U88" s="8"/>
      <c r="V88" s="8"/>
    </row>
    <row r="89" spans="17:20" ht="12.75" hidden="1">
      <c r="Q89" s="8" t="s">
        <v>94</v>
      </c>
      <c r="R89" s="8"/>
      <c r="S89" s="223">
        <f>VLOOKUP((S87),($S$23:$U$82),3,0)</f>
        <v>6</v>
      </c>
      <c r="T89" s="8"/>
    </row>
    <row r="90" spans="17:20" ht="12.75">
      <c r="Q90" s="8" t="s">
        <v>95</v>
      </c>
      <c r="R90" s="8"/>
      <c r="S90" s="274">
        <f>IF(ISERROR(SUM($T$23:$T$82)/SUM($U$23:$U$82)),"",(SUM($T$23:$T$82)-S88)/(SUM($U$23:$U$82)-S89))</f>
        <v>9.04</v>
      </c>
      <c r="T90" s="8"/>
    </row>
    <row r="91" spans="17:21" ht="12.75">
      <c r="Q91" s="222" t="s">
        <v>96</v>
      </c>
      <c r="R91" s="222"/>
      <c r="S91" s="222" t="str">
        <f>INDEX('[1]liste reference'!$A$8:$A$904,$T$91)</f>
        <v>CINAQU</v>
      </c>
      <c r="T91" s="8">
        <f>IF(ISERROR(MATCH($S$93,'[1]liste reference'!$A$8:$A$904,0)),MATCH($S$93,'[1]liste reference'!$B$8:$B$904,0),(MATCH($S$93,'[1]liste reference'!$A$8:$A$904,0)))</f>
        <v>170</v>
      </c>
      <c r="U91" s="263"/>
    </row>
    <row r="92" spans="17:20" ht="12.75">
      <c r="Q92" s="8" t="s">
        <v>97</v>
      </c>
      <c r="R92" s="8"/>
      <c r="S92" s="8">
        <f>MATCH(S87,$S$23:$S$82,0)</f>
        <v>8</v>
      </c>
      <c r="T92" s="8"/>
    </row>
    <row r="93" spans="17:20" ht="12.75">
      <c r="Q93" s="222" t="s">
        <v>98</v>
      </c>
      <c r="R93" s="8"/>
      <c r="S93" s="222" t="str">
        <f>INDEX($A$23:$A$82,$S$92)</f>
        <v>CINAQU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2014-12-15T10:23:08Z</dcterms:created>
  <dcterms:modified xsi:type="dcterms:W3CDTF">2014-12-15T10:23:25Z</dcterms:modified>
  <cp:category/>
  <cp:version/>
  <cp:contentType/>
  <cp:contentStatus/>
</cp:coreProperties>
</file>