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<sst xmlns="http://schemas.openxmlformats.org/spreadsheetml/2006/main" count="217" uniqueCount="99">
  <si>
    <t>Relevés floristiques aquatiques - IBMR</t>
  </si>
  <si>
    <t>modèle Irstea-GIS</t>
  </si>
  <si>
    <t xml:space="preserve">SAGE ENVIRONNEMENT </t>
  </si>
  <si>
    <t>LBOURGOIN MSCHEINIDER</t>
  </si>
  <si>
    <t>FURANS</t>
  </si>
  <si>
    <t>FURANS A BELLEY</t>
  </si>
  <si>
    <t>06077000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</si>
  <si>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</si>
  <si>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</si>
  <si>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</si>
  <si>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</si>
  <si>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</si>
  <si>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</si>
  <si>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</si>
  <si>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</si>
  <si>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</si>
  <si>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</si>
  <si>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</si>
  <si>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</si>
  <si>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</si>
  <si>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</si>
  <si>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</si>
  <si>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</si>
  <si>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</si>
  <si>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</si>
  <si>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</si>
  <si>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</si>
  <si>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</si>
  <si>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</si>
  <si>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</si>
  <si>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</si>
  <si>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</si>
  <si>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</si>
  <si>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</si>
  <si>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</si>
  <si>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</si>
  <si>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</si>
  <si>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</si>
  <si>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</si>
  <si>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</si>
  <si>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</si>
  <si>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</si>
  <si>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</si>
  <si>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</si>
  <si>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</si>
  <si>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</si>
  <si>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</si>
  <si>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</si>
  <si>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</si>
  <si>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</si>
  <si>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</si>
  <si>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</si>
  <si>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</si>
  <si>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</si>
  <si>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</si>
  <si>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</si>
  <si>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</si>
  <si>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</si>
  <si>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</si>
  <si>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</si>
  <si>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</si>
  <si>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</si>
  <si>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</si>
  <si>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</si>
  <si>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</si>
  <si>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</si>
  <si>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</si>
  <si>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</si>
  <si>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</si>
  <si>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</si>
  <si>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</si>
  <si>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</si>
  <si>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</si>
  <si>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</si>
  <si>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</si>
  <si>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</si>
  <si>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</si>
  <si>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</si>
  <si>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</si>
  <si>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</si>
  <si>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VAUSPX</t>
  </si>
  <si>
    <t xml:space="preserve"> -</t>
  </si>
  <si>
    <t>CHIPOL</t>
  </si>
  <si>
    <t>PELEND</t>
  </si>
  <si>
    <t>FISCRA</t>
  </si>
  <si>
    <t>FONANT</t>
  </si>
  <si>
    <t>HYATEN</t>
  </si>
  <si>
    <t>LEORIP</t>
  </si>
  <si>
    <t>RHYRIP</t>
  </si>
  <si>
    <t>VALSPI</t>
  </si>
  <si>
    <t>AGRSTO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</si>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</sst>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URBE_0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L3" sqref="L3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42164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11.93939393939394</v>
      </c>
      <c r="N5" s="50"/>
      <c r="O5" s="51" t="s">
        <v>16</v>
      </c>
      <c r="P5" s="52">
        <v>10.96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10.6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77.84</v>
      </c>
      <c r="C9" s="88">
        <v>5.01</v>
      </c>
      <c r="D9" s="89"/>
      <c r="E9" s="89"/>
      <c r="F9" s="90">
        <f>($B9*$B$7+$C9*$C$7)/100</f>
        <v>70.557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3.8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2.5</v>
      </c>
      <c r="C12" s="114"/>
      <c r="D12" s="89"/>
      <c r="E12" s="89"/>
      <c r="F12" s="106">
        <f>($B12*$B$7+$C12*$C$7)/100</f>
        <v>2.25</v>
      </c>
      <c r="G12" s="107"/>
      <c r="H12" s="56"/>
      <c r="I12" s="5"/>
      <c r="J12" s="108" t="s">
        <v>38</v>
      </c>
      <c r="K12" s="109"/>
      <c r="L12" s="110">
        <f>COUNTIF($G$23:$G$82,"=ALG")</f>
        <v>1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75.33</v>
      </c>
      <c r="C13" s="114">
        <v>5</v>
      </c>
      <c r="D13" s="89"/>
      <c r="E13" s="89"/>
      <c r="F13" s="106">
        <f>($B13*$B$7+$C13*$C$7)/100</f>
        <v>68.297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8</v>
      </c>
      <c r="M13" s="111"/>
      <c r="N13" s="120" t="s">
        <v>41</v>
      </c>
      <c r="O13" s="121">
        <f>COUNTIF(F23:F82,"&gt;0")</f>
        <v>11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10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0.01</v>
      </c>
      <c r="C15" s="128">
        <v>0.01</v>
      </c>
      <c r="D15" s="89"/>
      <c r="E15" s="89"/>
      <c r="F15" s="106">
        <f>($B15*$B$7+$C15*$C$7)/100</f>
        <v>0.01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2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6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77.84</v>
      </c>
      <c r="C17" s="114">
        <v>5</v>
      </c>
      <c r="D17" s="89"/>
      <c r="E17" s="89"/>
      <c r="F17" s="133"/>
      <c r="G17" s="134">
        <f>($B17*$B$7+$C17*$C$7)/100</f>
        <v>70.556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0.9090909090909091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0.01</v>
      </c>
      <c r="D18" s="89"/>
      <c r="E18" s="144" t="s">
        <v>54</v>
      </c>
      <c r="F18" s="133"/>
      <c r="G18" s="134">
        <f>($B18*$B$7+$C18*$C$7)/100</f>
        <v>0.001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70.557</v>
      </c>
      <c r="G19" s="157">
        <f>SUM(G16:G18)</f>
        <v>70.557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77.83999999999999</v>
      </c>
      <c r="C20" s="167">
        <f>SUM(C23:C62)</f>
        <v>5.01</v>
      </c>
      <c r="D20" s="168"/>
      <c r="E20" s="169" t="s">
        <v>54</v>
      </c>
      <c r="F20" s="170">
        <f>($B20*$B$7+$C20*$C$7)/100</f>
        <v>70.557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70.056</v>
      </c>
      <c r="C21" s="178">
        <f>C20*C7/100</f>
        <v>0.5009999999999999</v>
      </c>
      <c r="D21" s="179" t="s">
        <v>58</v>
      </c>
      <c r="E21" s="180"/>
      <c r="F21" s="181">
        <f>B21+C21</f>
        <v>70.557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2.5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Vaucheria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2.25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4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Vaucheria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1169</v>
      </c>
      <c r="R23" s="219">
        <f aca="true" t="shared" si="2" ref="R23:R82">IF(ISTEXT(H23),"",(B23*$B$7/100)+(C23*$C$7/100))</f>
        <v>2.25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VAUSPX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118</v>
      </c>
    </row>
    <row r="24" spans="1:26" ht="12.75">
      <c r="A24" s="224" t="s">
        <v>82</v>
      </c>
      <c r="B24" s="225">
        <v>5</v>
      </c>
      <c r="C24" s="226">
        <v>2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Chiloscyphus polyanthos</v>
      </c>
      <c r="E24" s="228" t="e">
        <f>IF(D24="",,VLOOKUP(D24,D$22:D23,1,0))</f>
        <v>#N/A</v>
      </c>
      <c r="F24" s="229">
        <f t="shared" si="0"/>
        <v>4.7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BRh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4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Chiloscyphus polyanthos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1186</v>
      </c>
      <c r="R24" s="219">
        <f t="shared" si="2"/>
        <v>4.7</v>
      </c>
      <c r="S24" s="220">
        <f t="shared" si="3"/>
        <v>3</v>
      </c>
      <c r="T24" s="220">
        <f t="shared" si="4"/>
        <v>45</v>
      </c>
      <c r="U24" s="220">
        <f t="shared" si="5"/>
        <v>90</v>
      </c>
      <c r="V24" s="236">
        <f t="shared" si="6"/>
        <v>6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CHIPOL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137</v>
      </c>
    </row>
    <row r="25" spans="1:26" ht="12.75">
      <c r="A25" s="224" t="s">
        <v>83</v>
      </c>
      <c r="B25" s="225">
        <v>10</v>
      </c>
      <c r="C25" s="226">
        <v>3.0000000000000004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Pellia endiviifolia</v>
      </c>
      <c r="E25" s="228" t="e">
        <f>IF(D25="",,VLOOKUP(D25,D$22:D24,1,0))</f>
        <v>#N/A</v>
      </c>
      <c r="F25" s="229">
        <f t="shared" si="0"/>
        <v>9.3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BRh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4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Pellia endiviifolia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1197</v>
      </c>
      <c r="R25" s="219">
        <f t="shared" si="2"/>
        <v>9.3</v>
      </c>
      <c r="S25" s="220">
        <f t="shared" si="3"/>
        <v>3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PELEND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167</v>
      </c>
    </row>
    <row r="26" spans="1:26" ht="12.75">
      <c r="A26" s="224" t="s">
        <v>16</v>
      </c>
      <c r="B26" s="225">
        <v>40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Cinclidotus aquaticus</v>
      </c>
      <c r="E26" s="228" t="e">
        <f>IF(D26="",,VLOOKUP(D26,D$22:D25,1,0))</f>
        <v>#N/A</v>
      </c>
      <c r="F26" s="229">
        <f t="shared" si="0"/>
        <v>36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15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Cinclidotus aquaticus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1318</v>
      </c>
      <c r="R26" s="219">
        <f t="shared" si="2"/>
        <v>36</v>
      </c>
      <c r="S26" s="220">
        <f t="shared" si="3"/>
        <v>4</v>
      </c>
      <c r="T26" s="220">
        <f t="shared" si="4"/>
        <v>60</v>
      </c>
      <c r="U26" s="220">
        <f t="shared" si="5"/>
        <v>120</v>
      </c>
      <c r="V26" s="236">
        <f t="shared" si="6"/>
        <v>8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CINAQU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221</v>
      </c>
    </row>
    <row r="27" spans="1:26" ht="12.75">
      <c r="A27" s="224" t="s">
        <v>84</v>
      </c>
      <c r="B27" s="225">
        <v>0.3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Fissidens crassipes</v>
      </c>
      <c r="E27" s="228" t="e">
        <f>IF(D27="",,VLOOKUP(D27,D$22:D26,1,0))</f>
        <v>#N/A</v>
      </c>
      <c r="F27" s="229">
        <f t="shared" si="0"/>
        <v>0.27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12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Fissidens crassipes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1294</v>
      </c>
      <c r="R27" s="219">
        <f t="shared" si="2"/>
        <v>0.27</v>
      </c>
      <c r="S27" s="220">
        <f t="shared" si="3"/>
        <v>2</v>
      </c>
      <c r="T27" s="220">
        <f t="shared" si="4"/>
        <v>24</v>
      </c>
      <c r="U27" s="220">
        <f t="shared" si="5"/>
        <v>48</v>
      </c>
      <c r="V27" s="236">
        <f t="shared" si="6"/>
        <v>4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FISCRA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255</v>
      </c>
    </row>
    <row r="28" spans="1:26" ht="12.75">
      <c r="A28" s="224" t="s">
        <v>85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Fontinalis antipyretica</v>
      </c>
      <c r="E28" s="228" t="e">
        <f>IF(D28="",,VLOOKUP(D28,D$22:D27,1,0))</f>
        <v>#N/A</v>
      </c>
      <c r="F28" s="229">
        <f t="shared" si="0"/>
        <v>0.009000000000000001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Fontinalis antipyretica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1310</v>
      </c>
      <c r="R28" s="219">
        <f t="shared" si="2"/>
        <v>0.009000000000000001</v>
      </c>
      <c r="S28" s="220">
        <f t="shared" si="3"/>
        <v>1</v>
      </c>
      <c r="T28" s="220">
        <f t="shared" si="4"/>
        <v>10</v>
      </c>
      <c r="U28" s="220">
        <f t="shared" si="5"/>
        <v>10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FONANT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273</v>
      </c>
    </row>
    <row r="29" spans="1:26" ht="12.75">
      <c r="A29" s="224" t="s">
        <v>86</v>
      </c>
      <c r="B29" s="225">
        <v>0.01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Hygroamblystegium tenax</v>
      </c>
      <c r="E29" s="228" t="e">
        <f>IF(D29="",,VLOOKUP(D29,D$22:D28,1,0))</f>
        <v>#N/A</v>
      </c>
      <c r="F29" s="229">
        <f t="shared" si="0"/>
        <v>0.009000000000000001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Hygroamblystegium tenax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31552</v>
      </c>
      <c r="R29" s="219">
        <f t="shared" si="2"/>
        <v>0.009000000000000001</v>
      </c>
      <c r="S29" s="220">
        <f t="shared" si="3"/>
        <v>1</v>
      </c>
      <c r="T29" s="220">
        <f t="shared" si="4"/>
        <v>15</v>
      </c>
      <c r="U29" s="220">
        <f t="shared" si="5"/>
        <v>30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HYATEN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283</v>
      </c>
    </row>
    <row r="30" spans="1:26" ht="12.75">
      <c r="A30" s="224" t="s">
        <v>87</v>
      </c>
      <c r="B30" s="225">
        <v>0.01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Leptodictyum riparium </v>
      </c>
      <c r="E30" s="228" t="e">
        <f>IF(D30="",,VLOOKUP(D30,D$22:D29,1,0))</f>
        <v>#N/A</v>
      </c>
      <c r="F30" s="229">
        <f t="shared" si="0"/>
        <v>0.009000000000000001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5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Leptodictyum riparium 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1244</v>
      </c>
      <c r="R30" s="219">
        <f t="shared" si="2"/>
        <v>0.009000000000000001</v>
      </c>
      <c r="S30" s="220">
        <f t="shared" si="3"/>
        <v>1</v>
      </c>
      <c r="T30" s="220">
        <f t="shared" si="4"/>
        <v>5</v>
      </c>
      <c r="U30" s="220">
        <f t="shared" si="5"/>
        <v>10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LEORIP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298</v>
      </c>
    </row>
    <row r="31" spans="1:26" ht="12.75">
      <c r="A31" s="224" t="s">
        <v>88</v>
      </c>
      <c r="B31" s="225">
        <v>20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Rhynchostegium riparioides</v>
      </c>
      <c r="E31" s="228" t="e">
        <f>IF(D31="",,VLOOKUP(D31,D$22:D30,1,0))</f>
        <v>#N/A</v>
      </c>
      <c r="F31" s="229">
        <f t="shared" si="0"/>
        <v>18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12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Rhynchostegium riparioides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31691</v>
      </c>
      <c r="R31" s="219">
        <f t="shared" si="2"/>
        <v>18</v>
      </c>
      <c r="S31" s="220">
        <f t="shared" si="3"/>
        <v>4</v>
      </c>
      <c r="T31" s="220">
        <f t="shared" si="4"/>
        <v>48</v>
      </c>
      <c r="U31" s="220">
        <f t="shared" si="5"/>
        <v>48</v>
      </c>
      <c r="V31" s="236">
        <f t="shared" si="6"/>
        <v>4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RHYRIP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345</v>
      </c>
    </row>
    <row r="32" spans="1:26" ht="12.75">
      <c r="A32" s="224" t="s">
        <v>89</v>
      </c>
      <c r="B32" s="225">
        <v>0.01</v>
      </c>
      <c r="C32" s="226">
        <v>0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Vallisneria spiralis</v>
      </c>
      <c r="E32" s="228" t="e">
        <f>IF(D32="",,VLOOKUP(D32,D$22:D31,1,0))</f>
        <v>#N/A</v>
      </c>
      <c r="F32" s="229">
        <f t="shared" si="0"/>
        <v>0.009000000000000001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PHy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7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8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Vallisneria spiralis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1598</v>
      </c>
      <c r="R32" s="219">
        <f t="shared" si="2"/>
        <v>0.009000000000000001</v>
      </c>
      <c r="S32" s="220">
        <f t="shared" si="3"/>
        <v>1</v>
      </c>
      <c r="T32" s="220">
        <f t="shared" si="4"/>
        <v>8</v>
      </c>
      <c r="U32" s="220">
        <f t="shared" si="5"/>
        <v>16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VALSPI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613</v>
      </c>
    </row>
    <row r="33" spans="1:26" ht="12.75">
      <c r="A33" s="224" t="s">
        <v>90</v>
      </c>
      <c r="B33" s="225">
        <v>0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Agrostis stolonifera</v>
      </c>
      <c r="E33" s="228" t="e">
        <f>IF(D33="",,VLOOKUP(D33,D$22:D32,1,0))</f>
        <v>#N/A</v>
      </c>
      <c r="F33" s="229">
        <f t="shared" si="0"/>
        <v>0.001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PHe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8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10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1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Agrostis stolonifera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1543</v>
      </c>
      <c r="R33" s="219">
        <f t="shared" si="2"/>
        <v>0.001</v>
      </c>
      <c r="S33" s="220">
        <f t="shared" si="3"/>
        <v>1</v>
      </c>
      <c r="T33" s="220">
        <f t="shared" si="4"/>
        <v>10</v>
      </c>
      <c r="U33" s="220">
        <f t="shared" si="5"/>
        <v>10</v>
      </c>
      <c r="V33" s="236">
        <f t="shared" si="6"/>
        <v>1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AGRSTO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623</v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70.557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33</v>
      </c>
      <c r="W83" s="220"/>
      <c r="X83" s="258"/>
      <c r="Y83" s="258"/>
      <c r="Z83" s="259"/>
    </row>
    <row r="84" spans="1:26" ht="12.75" hidden="1">
      <c r="A84" s="253" t="str">
        <f>A3</f>
        <v>FURANS</v>
      </c>
      <c r="B84" s="187" t="str">
        <f>C3</f>
        <v>FURANS A BELLEY</v>
      </c>
      <c r="C84" s="260" t="str">
        <f>A4</f>
        <v>(Date)</v>
      </c>
      <c r="D84" s="261">
        <f>IF(OR(ISERROR(SUM($U$23:$U$82)/SUM($V$23:$V$82)),F7&lt;&gt;100),-1,SUM($U$23:$U$82)/SUM($V$23:$V$82))</f>
        <v>11.93939393939394</v>
      </c>
      <c r="E84" s="262">
        <f>O13</f>
        <v>11</v>
      </c>
      <c r="F84" s="187">
        <f>O14</f>
        <v>10</v>
      </c>
      <c r="G84" s="187">
        <f>O15</f>
        <v>4</v>
      </c>
      <c r="H84" s="187">
        <f>O16</f>
        <v>6</v>
      </c>
      <c r="I84" s="187">
        <f>O17</f>
        <v>0</v>
      </c>
      <c r="J84" s="263">
        <f>O8</f>
        <v>10.6</v>
      </c>
      <c r="K84" s="264">
        <f>O9</f>
        <v>3.8</v>
      </c>
      <c r="L84" s="265">
        <f>O10</f>
        <v>4</v>
      </c>
      <c r="M84" s="265">
        <f>O11</f>
        <v>15</v>
      </c>
      <c r="N84" s="264">
        <f>P8</f>
        <v>1.6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70.557</v>
      </c>
      <c r="S84" s="265">
        <f>L11</f>
        <v>0</v>
      </c>
      <c r="T84" s="265">
        <f>L12</f>
        <v>1</v>
      </c>
      <c r="U84" s="265">
        <f>L13</f>
        <v>8</v>
      </c>
      <c r="V84" s="266">
        <f>L15</f>
        <v>2</v>
      </c>
      <c r="W84" s="267">
        <f>L15</f>
        <v>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91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92</v>
      </c>
      <c r="S87" s="5"/>
      <c r="T87" s="272">
        <f>VLOOKUP($T$91,($A$23:$U$82),20,FALSE)</f>
        <v>60</v>
      </c>
      <c r="U87" s="5"/>
      <c r="V87" s="5"/>
    </row>
    <row r="88" spans="3:22" ht="12.75" hidden="1">
      <c r="C88" s="269"/>
      <c r="D88" s="269"/>
      <c r="E88" s="269"/>
      <c r="R88" s="5" t="s">
        <v>93</v>
      </c>
      <c r="S88" s="5"/>
      <c r="T88" s="272">
        <f>VLOOKUP($T$91,($A$23:$U$82),21,FALSE)</f>
        <v>120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94</v>
      </c>
      <c r="S89" s="5"/>
      <c r="T89" s="272">
        <f>MAX($V$23:$V$82)</f>
        <v>8</v>
      </c>
      <c r="U89" s="5"/>
    </row>
    <row r="90" spans="3:21" ht="12.75" hidden="1">
      <c r="C90" s="269"/>
      <c r="D90" s="269"/>
      <c r="E90" s="269"/>
      <c r="R90" s="5" t="s">
        <v>95</v>
      </c>
      <c r="S90" s="5" t="s">
        <v>10</v>
      </c>
      <c r="T90" s="273">
        <f>IF(OR(ISERROR(SUM($U$23:$U$82)/SUM($V$23:$V$82)),F7&lt;&gt;100),-1,(SUM($U$23:$U$82)-T88)/(SUM($V$23:$V$82)-T89))</f>
        <v>10.96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96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97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98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2016-03-23T11:49:07Z</dcterms:created>
  <dcterms:modified xsi:type="dcterms:W3CDTF">2016-03-23T11:49:09Z</dcterms:modified>
  <cp:category/>
  <cp:version/>
  <cp:contentType/>
  <cp:contentStatus/>
</cp:coreProperties>
</file>