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<sst xmlns="http://schemas.openxmlformats.org/spreadsheetml/2006/main" count="164" uniqueCount="98">
  <si>
    <t xml:space="preserve">Relevés floristiques aquatiques - IBMR</t>
  </si>
  <si>
    <t xml:space="preserve">modèle Irstea-GIS</t>
  </si>
  <si>
    <t xml:space="preserve">SAGE ENVIRONNEMENT </t>
  </si>
  <si>
    <t xml:space="preserve">LBOURGOIN MSCHEINIDER</t>
  </si>
  <si>
    <t xml:space="preserve">FURANS</t>
  </si>
  <si>
    <t xml:space="preserve">FURANS A BELLEY</t>
  </si>
  <si>
    <t xml:space="preserve">06077000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</si>
  <si>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</si>
  <si>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</si>
  <si>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</si>
  <si>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</si>
  <si>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</si>
  <si>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</si>
  <si>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</si>
  <si>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</si>
  <si>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</si>
  <si>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</si>
  <si>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</si>
  <si>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</si>
  <si>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</si>
  <si>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</si>
  <si>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</si>
  <si>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</si>
  <si>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</si>
  <si>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</si>
  <si>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</si>
  <si>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</si>
  <si>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</si>
  <si>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</si>
  <si>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</si>
  <si>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</si>
  <si>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</si>
  <si>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</si>
  <si>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</si>
  <si>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</si>
  <si>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</si>
  <si>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</si>
  <si>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</si>
  <si>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</si>
  <si>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</si>
  <si>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</si>
  <si>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</si>
  <si>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</si>
  <si>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</si>
  <si>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</si>
  <si>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</si>
  <si>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</si>
  <si>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</si>
  <si>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</si>
  <si>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</si>
  <si>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</si>
  <si>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</si>
  <si>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</si>
  <si>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</si>
  <si>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</si>
  <si>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</si>
  <si>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</si>
  <si>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</si>
  <si>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</si>
  <si>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</si>
  <si>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</si>
  <si>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</si>
  <si>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</si>
  <si>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</si>
  <si>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</si>
  <si>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</si>
  <si>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</si>
  <si>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</si>
  <si>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</si>
  <si>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</si>
  <si>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</si>
  <si>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</si>
  <si>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</si>
  <si>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</si>
  <si>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</si>
  <si>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</si>
  <si>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</si>
  <si>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</si>
  <si>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</si>
  <si>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</si>
  <si>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</si>
  <si>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CHIPOL</t>
  </si>
  <si>
    <t xml:space="preserve">PELEND</t>
  </si>
  <si>
    <t xml:space="preserve">FISCRA</t>
  </si>
  <si>
    <t xml:space="preserve">FONANT</t>
  </si>
  <si>
    <t xml:space="preserve">HYATEN</t>
  </si>
  <si>
    <t xml:space="preserve">LEORIP</t>
  </si>
  <si>
    <t xml:space="preserve">RHYRIP</t>
  </si>
  <si>
    <t xml:space="preserve">VALSPI</t>
  </si>
  <si>
    <t xml:space="preserve">AGRSTO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</si>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</sst>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FURBE_09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42164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11.9393939393939</v>
      </c>
      <c r="N5" s="51"/>
      <c r="O5" s="52" t="s">
        <v>16</v>
      </c>
      <c r="P5" s="53" t="n">
        <v>10.96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10.6</v>
      </c>
      <c r="P8" s="83" t="n">
        <f aca="false">IF(ISERROR(AVERAGE(K23:K82)),"  ",AVERAGE(K23:K82))</f>
        <v>1.6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77.84</v>
      </c>
      <c r="C9" s="86" t="n">
        <v>5.01</v>
      </c>
      <c r="D9" s="87"/>
      <c r="E9" s="87"/>
      <c r="F9" s="88" t="n">
        <f aca="false">($B9*$B$7+$C9*$C$7)/100</f>
        <v>70.557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3.8</v>
      </c>
      <c r="P9" s="83" t="n">
        <f aca="false">IF(ISERROR(STDEVP(K23:K82)),"  ",STDEVP(K23:K82))</f>
        <v>0.489897948556636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2.5</v>
      </c>
      <c r="C12" s="111"/>
      <c r="D12" s="87"/>
      <c r="E12" s="87"/>
      <c r="F12" s="104" t="n">
        <f aca="false">($B12*$B$7+$C12*$C$7)/100</f>
        <v>2.25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75.33</v>
      </c>
      <c r="C13" s="111" t="n">
        <v>5</v>
      </c>
      <c r="D13" s="87"/>
      <c r="E13" s="87"/>
      <c r="F13" s="104" t="n">
        <f aca="false">($B13*$B$7+$C13*$C$7)/100</f>
        <v>68.297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8</v>
      </c>
      <c r="M13" s="108"/>
      <c r="N13" s="116" t="s">
        <v>41</v>
      </c>
      <c r="O13" s="117" t="n">
        <f aca="false">COUNTIF(F23:F82,"&gt;0")</f>
        <v>11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10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0.01</v>
      </c>
      <c r="C15" s="124" t="n">
        <v>0.01</v>
      </c>
      <c r="D15" s="87"/>
      <c r="E15" s="87"/>
      <c r="F15" s="104" t="n">
        <f aca="false">($B15*$B$7+$C15*$C$7)/100</f>
        <v>0.01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2</v>
      </c>
      <c r="M15" s="108"/>
      <c r="N15" s="116" t="s">
        <v>47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6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77.84</v>
      </c>
      <c r="C17" s="111" t="n">
        <v>5</v>
      </c>
      <c r="D17" s="87"/>
      <c r="E17" s="87"/>
      <c r="F17" s="129"/>
      <c r="G17" s="130" t="n">
        <f aca="false">($B17*$B$7+$C17*$C$7)/100</f>
        <v>70.556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0.909090909090909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 t="n">
        <v>0.01</v>
      </c>
      <c r="D18" s="87"/>
      <c r="E18" s="139" t="s">
        <v>54</v>
      </c>
      <c r="F18" s="129"/>
      <c r="G18" s="130" t="n">
        <f aca="false">($B18*$B$7+$C18*$C$7)/100</f>
        <v>0.001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70.557</v>
      </c>
      <c r="G19" s="150" t="n">
        <f aca="false">SUM(G16:G18)</f>
        <v>70.557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77.84</v>
      </c>
      <c r="C20" s="160" t="n">
        <f aca="false">SUM(C23:C62)</f>
        <v>5.01</v>
      </c>
      <c r="D20" s="161"/>
      <c r="E20" s="162" t="s">
        <v>54</v>
      </c>
      <c r="F20" s="163" t="n">
        <f aca="false">($B20*$B$7+$C20*$C$7)/100</f>
        <v>70.557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70.056</v>
      </c>
      <c r="C21" s="171" t="n">
        <f aca="false">C20*C7/100</f>
        <v>0.501</v>
      </c>
      <c r="D21" s="172" t="s">
        <v>57</v>
      </c>
      <c r="E21" s="173"/>
      <c r="F21" s="174" t="n">
        <f aca="false">B21+C21</f>
        <v>70.557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2.5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Vaucheria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2.25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4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Vaucheria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1169</v>
      </c>
      <c r="R23" s="211" t="n">
        <f aca="false">IF(ISTEXT(H23),"",(B23*$B$7/100)+(C23*$C$7/100))</f>
        <v>2.25</v>
      </c>
      <c r="S23" s="212" t="n">
        <f aca="false">IF(OR(ISTEXT(H23),R23=0),"",IF(R23&lt;0.1,1,IF(R23&lt;1,2,IF(R23&lt;10,3,IF(R23&lt;50,4,IF(R23&gt;=50,5,""))))))</f>
        <v>3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3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VAUSPX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118</v>
      </c>
    </row>
    <row r="24" customFormat="false" ht="12.75" hidden="false" customHeight="false" outlineLevel="0" collapsed="false">
      <c r="A24" s="216" t="s">
        <v>81</v>
      </c>
      <c r="B24" s="217" t="n">
        <v>5</v>
      </c>
      <c r="C24" s="218" t="n">
        <v>2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Chiloscyphus polyanthos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4.7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BRh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4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Chiloscyphus polyanthos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1186</v>
      </c>
      <c r="R24" s="211" t="n">
        <f aca="false">IF(ISTEXT(H24),"",(B24*$B$7/100)+(C24*$C$7/100))</f>
        <v>4.7</v>
      </c>
      <c r="S24" s="212" t="n">
        <f aca="false">IF(OR(ISTEXT(H24),R24=0),"",IF(R24&lt;0.1,1,IF(R24&lt;1,2,IF(R24&lt;10,3,IF(R24&lt;50,4,IF(R24&gt;=50,5,""))))))</f>
        <v>3</v>
      </c>
      <c r="T24" s="212" t="n">
        <f aca="false">IF(ISERROR(S24*J24),0,S24*J24)</f>
        <v>45</v>
      </c>
      <c r="U24" s="212" t="n">
        <f aca="false">IF(ISERROR(S24*J24*K24),0,S24*J24*K24)</f>
        <v>90</v>
      </c>
      <c r="V24" s="228" t="n">
        <f aca="false">IF(ISERROR(S24*K24),0,S24*K24)</f>
        <v>6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CHIPOL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137</v>
      </c>
    </row>
    <row r="25" customFormat="false" ht="12.75" hidden="false" customHeight="false" outlineLevel="0" collapsed="false">
      <c r="A25" s="216" t="s">
        <v>82</v>
      </c>
      <c r="B25" s="217" t="n">
        <v>10</v>
      </c>
      <c r="C25" s="218" t="n">
        <v>3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Pellia endiviifolia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9.3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BRh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4</v>
      </c>
      <c r="I25" s="8" t="n">
        <f aca="false">IF(A25="","",1)</f>
        <v>1</v>
      </c>
      <c r="J25" s="224" t="str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nc</v>
      </c>
      <c r="K25" s="224" t="str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nc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Pellia endiviifolia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1197</v>
      </c>
      <c r="R25" s="211" t="n">
        <f aca="false">IF(ISTEXT(H25),"",(B25*$B$7/100)+(C25*$C$7/100))</f>
        <v>9.3</v>
      </c>
      <c r="S25" s="212" t="n">
        <f aca="false">IF(OR(ISTEXT(H25),R25=0),"",IF(R25&lt;0.1,1,IF(R25&lt;1,2,IF(R25&lt;10,3,IF(R25&lt;50,4,IF(R25&gt;=50,5,""))))))</f>
        <v>3</v>
      </c>
      <c r="T25" s="212" t="n">
        <f aca="false">IF(ISERROR(S25*J25),0,S25*J25)</f>
        <v>0</v>
      </c>
      <c r="U25" s="212" t="n">
        <f aca="false">IF(ISERROR(S25*J25*K25),0,S25*J25*K25)</f>
        <v>0</v>
      </c>
      <c r="V25" s="228" t="n">
        <f aca="false">IF(ISERROR(S25*K25),0,S25*K25)</f>
        <v>0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PELEND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167</v>
      </c>
    </row>
    <row r="26" customFormat="false" ht="12.75" hidden="false" customHeight="false" outlineLevel="0" collapsed="false">
      <c r="A26" s="216" t="s">
        <v>16</v>
      </c>
      <c r="B26" s="217" t="n">
        <v>40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Cinclidotus aquaticus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36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Cinclidotus aquaticus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1318</v>
      </c>
      <c r="R26" s="211" t="n">
        <f aca="false">IF(ISTEXT(H26),"",(B26*$B$7/100)+(C26*$C$7/100))</f>
        <v>36</v>
      </c>
      <c r="S26" s="212" t="n">
        <f aca="false">IF(OR(ISTEXT(H26),R26=0),"",IF(R26&lt;0.1,1,IF(R26&lt;1,2,IF(R26&lt;10,3,IF(R26&lt;50,4,IF(R26&gt;=50,5,""))))))</f>
        <v>4</v>
      </c>
      <c r="T26" s="212" t="n">
        <f aca="false">IF(ISERROR(S26*J26),0,S26*J26)</f>
        <v>60</v>
      </c>
      <c r="U26" s="212" t="n">
        <f aca="false">IF(ISERROR(S26*J26*K26),0,S26*J26*K26)</f>
        <v>120</v>
      </c>
      <c r="V26" s="228" t="n">
        <f aca="false">IF(ISERROR(S26*K26),0,S26*K26)</f>
        <v>8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CINAQU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221</v>
      </c>
    </row>
    <row r="27" customFormat="false" ht="12.75" hidden="false" customHeight="false" outlineLevel="0" collapsed="false">
      <c r="A27" s="216" t="s">
        <v>83</v>
      </c>
      <c r="B27" s="217" t="n">
        <v>0.3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Fissidens crassipes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0.27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Fissidens crassipes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1294</v>
      </c>
      <c r="R27" s="211" t="n">
        <f aca="false">IF(ISTEXT(H27),"",(B27*$B$7/100)+(C27*$C$7/100))</f>
        <v>0.27</v>
      </c>
      <c r="S27" s="212" t="n">
        <f aca="false">IF(OR(ISTEXT(H27),R27=0),"",IF(R27&lt;0.1,1,IF(R27&lt;1,2,IF(R27&lt;10,3,IF(R27&lt;50,4,IF(R27&gt;=50,5,""))))))</f>
        <v>2</v>
      </c>
      <c r="T27" s="212" t="n">
        <f aca="false">IF(ISERROR(S27*J27),0,S27*J27)</f>
        <v>24</v>
      </c>
      <c r="U27" s="212" t="n">
        <f aca="false">IF(ISERROR(S27*J27*K27),0,S27*J27*K27)</f>
        <v>48</v>
      </c>
      <c r="V27" s="228" t="n">
        <f aca="false">IF(ISERROR(S27*K27),0,S27*K27)</f>
        <v>4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FISCRA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255</v>
      </c>
    </row>
    <row r="28" customFormat="false" ht="12.75" hidden="false" customHeight="false" outlineLevel="0" collapsed="false">
      <c r="A28" s="216" t="s">
        <v>84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Fontinalis antipyretica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0.009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Fontinalis antipyretica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1310</v>
      </c>
      <c r="R28" s="211" t="n">
        <f aca="false">IF(ISTEXT(H28),"",(B28*$B$7/100)+(C28*$C$7/100))</f>
        <v>0.009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10</v>
      </c>
      <c r="U28" s="212" t="n">
        <f aca="false">IF(ISERROR(S28*J28*K28),0,S28*J28*K28)</f>
        <v>10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FONANT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273</v>
      </c>
    </row>
    <row r="29" customFormat="false" ht="12.75" hidden="false" customHeight="false" outlineLevel="0" collapsed="false">
      <c r="A29" s="216" t="s">
        <v>85</v>
      </c>
      <c r="B29" s="217" t="n">
        <v>0.01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Hygroamblystegium tenax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0.009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15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Hygroamblystegium tenax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31552</v>
      </c>
      <c r="R29" s="211" t="n">
        <f aca="false">IF(ISTEXT(H29),"",(B29*$B$7/100)+(C29*$C$7/100))</f>
        <v>0.009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15</v>
      </c>
      <c r="U29" s="212" t="n">
        <f aca="false">IF(ISERROR(S29*J29*K29),0,S29*J29*K29)</f>
        <v>30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HYATEN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283</v>
      </c>
    </row>
    <row r="30" customFormat="false" ht="12.75" hidden="false" customHeight="false" outlineLevel="0" collapsed="false">
      <c r="A30" s="216" t="s">
        <v>86</v>
      </c>
      <c r="B30" s="217" t="n">
        <v>0.01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Leptodictyum riparium 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0.009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Leptodictyum riparium 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1244</v>
      </c>
      <c r="R30" s="211" t="n">
        <f aca="false">IF(ISTEXT(H30),"",(B30*$B$7/100)+(C30*$C$7/100))</f>
        <v>0.009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5</v>
      </c>
      <c r="U30" s="212" t="n">
        <f aca="false">IF(ISERROR(S30*J30*K30),0,S30*J30*K30)</f>
        <v>10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LEORIP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298</v>
      </c>
    </row>
    <row r="31" customFormat="false" ht="12.75" hidden="false" customHeight="false" outlineLevel="0" collapsed="false">
      <c r="A31" s="216" t="s">
        <v>87</v>
      </c>
      <c r="B31" s="217" t="n">
        <v>20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Rhynchostegium riparioides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18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12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Rhynchostegium riparioides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31691</v>
      </c>
      <c r="R31" s="211" t="n">
        <f aca="false">IF(ISTEXT(H31),"",(B31*$B$7/100)+(C31*$C$7/100))</f>
        <v>18</v>
      </c>
      <c r="S31" s="212" t="n">
        <f aca="false">IF(OR(ISTEXT(H31),R31=0),"",IF(R31&lt;0.1,1,IF(R31&lt;1,2,IF(R31&lt;10,3,IF(R31&lt;50,4,IF(R31&gt;=50,5,""))))))</f>
        <v>4</v>
      </c>
      <c r="T31" s="212" t="n">
        <f aca="false">IF(ISERROR(S31*J31),0,S31*J31)</f>
        <v>48</v>
      </c>
      <c r="U31" s="212" t="n">
        <f aca="false">IF(ISERROR(S31*J31*K31),0,S31*J31*K31)</f>
        <v>48</v>
      </c>
      <c r="V31" s="228" t="n">
        <f aca="false">IF(ISERROR(S31*K31),0,S31*K31)</f>
        <v>4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RHYRIP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345</v>
      </c>
    </row>
    <row r="32" customFormat="false" ht="12.75" hidden="false" customHeight="false" outlineLevel="0" collapsed="false">
      <c r="A32" s="216" t="s">
        <v>88</v>
      </c>
      <c r="B32" s="217" t="n">
        <v>0.01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Vallisneria spiralis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0.009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PHy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7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8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Vallisneria spiralis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1598</v>
      </c>
      <c r="R32" s="211" t="n">
        <f aca="false">IF(ISTEXT(H32),"",(B32*$B$7/100)+(C32*$C$7/100))</f>
        <v>0.009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8</v>
      </c>
      <c r="U32" s="212" t="n">
        <f aca="false">IF(ISERROR(S32*J32*K32),0,S32*J32*K32)</f>
        <v>16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VALSPI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613</v>
      </c>
    </row>
    <row r="33" customFormat="false" ht="12.75" hidden="false" customHeight="false" outlineLevel="0" collapsed="false">
      <c r="A33" s="216" t="s">
        <v>89</v>
      </c>
      <c r="B33" s="217" t="n">
        <v>0</v>
      </c>
      <c r="C33" s="218" t="n">
        <v>0.01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Agrostis stolonifera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0.001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PHe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8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10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Agrostis stolonifera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1543</v>
      </c>
      <c r="R33" s="211" t="n">
        <f aca="false">IF(ISTEXT(H33),"",(B33*$B$7/100)+(C33*$C$7/100))</f>
        <v>0.001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10</v>
      </c>
      <c r="U33" s="212" t="n">
        <f aca="false">IF(ISERROR(S33*J33*K33),0,S33*J33*K33)</f>
        <v>10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AGRSTO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623</v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70.557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33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FURANS</v>
      </c>
      <c r="B84" s="180" t="str">
        <f aca="false">C3</f>
        <v>FURANS A BELLEY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11.9393939393939</v>
      </c>
      <c r="E84" s="254" t="n">
        <f aca="false">O13</f>
        <v>11</v>
      </c>
      <c r="F84" s="180" t="n">
        <f aca="false">O14</f>
        <v>10</v>
      </c>
      <c r="G84" s="180" t="n">
        <f aca="false">O15</f>
        <v>4</v>
      </c>
      <c r="H84" s="180" t="n">
        <f aca="false">O16</f>
        <v>6</v>
      </c>
      <c r="I84" s="180" t="n">
        <f aca="false">O17</f>
        <v>0</v>
      </c>
      <c r="J84" s="255" t="n">
        <f aca="false">O8</f>
        <v>10.6</v>
      </c>
      <c r="K84" s="256" t="n">
        <f aca="false">O9</f>
        <v>3.8</v>
      </c>
      <c r="L84" s="257" t="n">
        <f aca="false">O10</f>
        <v>4</v>
      </c>
      <c r="M84" s="257" t="n">
        <f aca="false">O11</f>
        <v>15</v>
      </c>
      <c r="N84" s="256" t="n">
        <f aca="false">P8</f>
        <v>1.6</v>
      </c>
      <c r="O84" s="256" t="n">
        <f aca="false">P9</f>
        <v>0.489897948556636</v>
      </c>
      <c r="P84" s="257" t="n">
        <f aca="false">P10</f>
        <v>1</v>
      </c>
      <c r="Q84" s="257" t="n">
        <f aca="false">P11</f>
        <v>2</v>
      </c>
      <c r="R84" s="257" t="n">
        <f aca="false">F21</f>
        <v>70.557</v>
      </c>
      <c r="S84" s="257" t="n">
        <f aca="false">L11</f>
        <v>0</v>
      </c>
      <c r="T84" s="257" t="n">
        <f aca="false">L12</f>
        <v>1</v>
      </c>
      <c r="U84" s="257" t="n">
        <f aca="false">L13</f>
        <v>8</v>
      </c>
      <c r="V84" s="258" t="n">
        <f aca="false">L15</f>
        <v>2</v>
      </c>
      <c r="W84" s="259" t="n">
        <f aca="false">L15</f>
        <v>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90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91</v>
      </c>
      <c r="S87" s="8"/>
      <c r="T87" s="263" t="n">
        <f aca="false">VLOOKUP($T$91,($A$23:$U$82),20,FALSE())</f>
        <v>60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92</v>
      </c>
      <c r="S88" s="8"/>
      <c r="T88" s="263" t="n">
        <f aca="false">VLOOKUP($T$91,($A$23:$U$82),21,FALSE())</f>
        <v>120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93</v>
      </c>
      <c r="S89" s="8"/>
      <c r="T89" s="263" t="n">
        <f aca="false">MAX($V$23:$V$82)</f>
        <v>8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94</v>
      </c>
      <c r="S90" s="8" t="s">
        <v>10</v>
      </c>
      <c r="T90" s="264" t="n">
        <f aca="false">IF(OR(ISERROR(SUM($U$23:$U$82)/SUM($V$23:$V$82)),F7&lt;&gt;100),-1,(SUM($U$23:$U$82)-T88)/(SUM($V$23:$V$82)-T89))</f>
        <v>10.96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95</v>
      </c>
      <c r="S91" s="212"/>
      <c r="T91" s="212" t="str">
        <f aca="false">INDEX('[1]liste reference'!$A$6:$A$1174,$U$91)</f>
        <v>CINAQU</v>
      </c>
      <c r="U91" s="8" t="n">
        <f aca="false">IF(ISERROR(MATCH($T$93,'[1]liste reference'!$A$6:$A$1174,0)),MATCH($T$93,'[1]liste reference'!$B$6:$B$1174,0),(MATCH($T$93,'[1]liste reference'!$A$6:$A$1174,0)))</f>
        <v>221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96</v>
      </c>
      <c r="S92" s="8"/>
      <c r="T92" s="8" t="n">
        <f aca="false">MATCH(T89,$V$23:$V$82,0)</f>
        <v>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97</v>
      </c>
      <c r="S93" s="8"/>
      <c r="T93" s="212" t="str">
        <f aca="false">INDEX($A$23:$A$82,$T$92)</f>
        <v>CINAQU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2016-03-23T13:49:07Z</dcterms:created>
  <dc:creator>laurianne isebe</dc:creator>
  <dc:description/>
  <dc:language>fr-FR</dc:language>
  <cp:lastModifiedBy>laurianne isebe</cp:lastModifiedBy>
  <dcterms:modified xsi:type="dcterms:W3CDTF">2016-03-23T13:49:09Z</dcterms:modified>
  <cp:revision>0</cp:revision>
  <dc:subject/>
  <dc:title/>
</cp:coreProperties>
</file>