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<sst xmlns="http://schemas.openxmlformats.org/spreadsheetml/2006/main" count="215" uniqueCount="107">
  <si>
    <t>Relevés floristiques aquatiques - IBMR</t>
  </si>
  <si>
    <t>modèle Irstea-GIS</t>
  </si>
  <si>
    <t>SAGE</t>
  </si>
  <si>
    <t>S. RENAHY M. SCHNEIDER</t>
  </si>
  <si>
    <t>RHONE</t>
  </si>
  <si>
    <t>RHONE A BREGNIER CORDON</t>
  </si>
  <si>
    <t>06077500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</si>
  <si>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</si>
  <si>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</si>
  <si>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</si>
  <si>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</si>
  <si>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</si>
  <si>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</si>
  <si>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</si>
  <si>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</si>
  <si>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</si>
  <si>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POTNOD</t>
  </si>
  <si>
    <t>Faciès dominant</t>
  </si>
  <si>
    <t>ch. lentique</t>
  </si>
  <si>
    <t>niveau trophique</t>
  </si>
  <si>
    <t>très élevé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</si>
  <si>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</si>
  <si>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</si>
  <si>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</si>
  <si>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</si>
  <si>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</si>
  <si>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</si>
  <si>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</si>
  <si>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</si>
  <si>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</si>
  <si>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</si>
  <si>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</si>
  <si>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</si>
  <si>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</si>
  <si>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</si>
  <si>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</si>
  <si>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</si>
  <si>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</si>
  <si>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</si>
  <si>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</si>
  <si>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</si>
  <si>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</si>
  <si>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</si>
  <si>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</si>
  <si>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</si>
  <si>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</si>
  <si>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</si>
  <si>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</si>
  <si>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</si>
  <si>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</si>
  <si>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</si>
  <si>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</si>
  <si>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</si>
  <si>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</si>
  <si>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</si>
  <si>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</si>
  <si>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</si>
  <si>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</si>
  <si>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</si>
  <si>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</si>
  <si>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</si>
  <si>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</si>
  <si>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</si>
  <si>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</si>
  <si>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</si>
  <si>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</si>
  <si>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</si>
  <si>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</si>
  <si>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</si>
  <si>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</si>
  <si>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</si>
  <si>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</si>
  <si>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</si>
  <si>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</si>
  <si>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</si>
  <si>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</si>
  <si>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</si>
  <si>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</si>
  <si>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</si>
  <si>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</si>
  <si>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</si>
  <si>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</si>
  <si>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ENCSPX</t>
  </si>
  <si>
    <t>GOPSPX</t>
  </si>
  <si>
    <t>OEDSPX</t>
  </si>
  <si>
    <t>OSCSPX</t>
  </si>
  <si>
    <t>PHOSPX</t>
  </si>
  <si>
    <t>SPISPX</t>
  </si>
  <si>
    <t>ULOSPX</t>
  </si>
  <si>
    <t>ELONUT</t>
  </si>
  <si>
    <t>LEMMIN</t>
  </si>
  <si>
    <t>MYRSPI</t>
  </si>
  <si>
    <t>POTBER</t>
  </si>
  <si>
    <t>POTCRI</t>
  </si>
  <si>
    <t>POTPEC</t>
  </si>
  <si>
    <t>POTPER</t>
  </si>
  <si>
    <t>RANFLU</t>
  </si>
  <si>
    <t>BERERE</t>
  </si>
  <si>
    <t>NASOFF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</si>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</sst>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RHOCOR_04-09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B31" sqref="AB31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42251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7.34375</v>
      </c>
      <c r="N5" s="50"/>
      <c r="O5" s="51" t="s">
        <v>16</v>
      </c>
      <c r="P5" s="52">
        <v>8.115384615384615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/>
      <c r="D6" s="56"/>
      <c r="E6" s="56"/>
      <c r="F6" s="57"/>
      <c r="G6" s="45"/>
      <c r="H6" s="43"/>
      <c r="I6" s="5"/>
      <c r="J6" s="58"/>
      <c r="K6" s="59"/>
      <c r="L6" s="60" t="s">
        <v>19</v>
      </c>
      <c r="M6" s="61" t="s">
        <v>20</v>
      </c>
      <c r="N6" s="62"/>
      <c r="O6" s="63">
        <v>1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100</v>
      </c>
      <c r="C7" s="68">
        <v>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8.705882352941176</v>
      </c>
      <c r="P8" s="85">
        <f>IF(ISERROR(AVERAGE(K23:K82)),"  ",AVERAGE(K23:K82))</f>
        <v>1.7058823529411764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90</v>
      </c>
      <c r="C9" s="88">
        <v>0</v>
      </c>
      <c r="D9" s="89"/>
      <c r="E9" s="89"/>
      <c r="F9" s="90">
        <f>($B9*$B$7+$C9*$C$7)/100</f>
        <v>90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2.965779450813066</v>
      </c>
      <c r="P9" s="85">
        <f>IF(ISERROR(STDEVP(K23:K82)),"  ",STDEVP(K23:K82))</f>
        <v>0.5703152773430975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/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2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14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10.5</v>
      </c>
      <c r="C12" s="114"/>
      <c r="D12" s="89"/>
      <c r="E12" s="89"/>
      <c r="F12" s="106">
        <f>($B12*$B$7+$C12*$C$7)/100</f>
        <v>10.5</v>
      </c>
      <c r="G12" s="107"/>
      <c r="H12" s="56"/>
      <c r="I12" s="5"/>
      <c r="J12" s="108" t="s">
        <v>38</v>
      </c>
      <c r="K12" s="109"/>
      <c r="L12" s="110">
        <f>COUNTIF($G$23:$G$82,"=ALG")</f>
        <v>8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/>
      <c r="C13" s="114"/>
      <c r="D13" s="89"/>
      <c r="E13" s="89"/>
      <c r="F13" s="106">
        <f>($B13*$B$7+$C13*$C$7)/100</f>
        <v>0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0</v>
      </c>
      <c r="M13" s="111"/>
      <c r="N13" s="120" t="s">
        <v>41</v>
      </c>
      <c r="O13" s="121">
        <f>COUNTIF(F23:F82,"&gt;0")</f>
        <v>19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17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>
        <v>92.7</v>
      </c>
      <c r="C15" s="128"/>
      <c r="D15" s="89"/>
      <c r="E15" s="89"/>
      <c r="F15" s="106">
        <f>($B15*$B$7+$C15*$C$7)/100</f>
        <v>92.7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11</v>
      </c>
      <c r="M15" s="111"/>
      <c r="N15" s="120" t="s">
        <v>47</v>
      </c>
      <c r="O15" s="121">
        <f>COUNTIF(K23:K82,"=1")</f>
        <v>6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>
        <v>0.08</v>
      </c>
      <c r="C16" s="105"/>
      <c r="D16" s="89"/>
      <c r="E16" s="89"/>
      <c r="F16" s="129"/>
      <c r="G16" s="130">
        <f>($B16*$B$7+$C16*$C$7)/100</f>
        <v>0.08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10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90</v>
      </c>
      <c r="C17" s="114"/>
      <c r="D17" s="89"/>
      <c r="E17" s="89"/>
      <c r="F17" s="133"/>
      <c r="G17" s="134">
        <f>($B17*$B$7+$C17*$C$7)/100</f>
        <v>90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0.8947368421052632</v>
      </c>
      <c r="N17" s="120" t="s">
        <v>52</v>
      </c>
      <c r="O17" s="121">
        <f>COUNTIF(K23:K82,"=3")</f>
        <v>1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>
        <v>0.09</v>
      </c>
      <c r="C18" s="143"/>
      <c r="D18" s="89"/>
      <c r="E18" s="144" t="s">
        <v>54</v>
      </c>
      <c r="F18" s="133"/>
      <c r="G18" s="134">
        <f>($B18*$B$7+$C18*$C$7)/100</f>
        <v>0.09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103.2</v>
      </c>
      <c r="G19" s="157">
        <f>SUM(G16:G18)</f>
        <v>90.17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103.17978113207546</v>
      </c>
      <c r="C20" s="167">
        <f>SUM(C23:C62)</f>
        <v>0</v>
      </c>
      <c r="D20" s="168"/>
      <c r="E20" s="169" t="s">
        <v>54</v>
      </c>
      <c r="F20" s="170">
        <f>($B20*$B$7+$C20*$C$7)/100</f>
        <v>103.17978113207546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103.17978113207546</v>
      </c>
      <c r="C21" s="178">
        <f>C20*C7/100</f>
        <v>0</v>
      </c>
      <c r="D21" s="179" t="s">
        <v>58</v>
      </c>
      <c r="E21" s="180"/>
      <c r="F21" s="181">
        <f>B21+C21</f>
        <v>103.17978113207546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2.1748075471698107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2.1748075471698107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2.1748075471698107</v>
      </c>
      <c r="S23" s="220">
        <f aca="true" t="shared" si="3" ref="S23:S82">IF(OR(ISTEXT(H23),R23=0),"",IF(R23&lt;0.1,1,IF(R23&lt;1,2,IF(R23&lt;10,3,IF(R23&lt;50,4,IF(R23&gt;=50,5,""))))))</f>
        <v>3</v>
      </c>
      <c r="T23" s="220">
        <f aca="true" t="shared" si="4" ref="T23:T82">IF(ISERROR(S23*J23),0,S23*J23)</f>
        <v>18</v>
      </c>
      <c r="U23" s="220">
        <f aca="true" t="shared" si="5" ref="U23:U82">IF(ISERROR(S23*J23*K23),0,S23*J23*K23)</f>
        <v>18</v>
      </c>
      <c r="V23" s="220">
        <f aca="true" t="shared" si="6" ref="V23:V82">IF(ISERROR(S23*K23),0,S23*K23)</f>
        <v>3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82</v>
      </c>
      <c r="B24" s="225">
        <v>0.0058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Encyonema sp.</v>
      </c>
      <c r="E24" s="228" t="e">
        <f>IF(D24="",,VLOOKUP(D24,D$22:D23,1,0))</f>
        <v>#N/A</v>
      </c>
      <c r="F24" s="229">
        <f t="shared" si="0"/>
        <v>0.0058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 t="str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nc</v>
      </c>
      <c r="K24" s="232" t="str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nc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Encyonema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9378</v>
      </c>
      <c r="R24" s="219">
        <f t="shared" si="2"/>
        <v>0.0058</v>
      </c>
      <c r="S24" s="220">
        <f t="shared" si="3"/>
        <v>1</v>
      </c>
      <c r="T24" s="220">
        <f t="shared" si="4"/>
        <v>0</v>
      </c>
      <c r="U24" s="220">
        <f t="shared" si="5"/>
        <v>0</v>
      </c>
      <c r="V24" s="236">
        <f t="shared" si="6"/>
        <v>0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ENCSPX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45</v>
      </c>
    </row>
    <row r="25" spans="1:26" ht="12.75">
      <c r="A25" s="224" t="s">
        <v>83</v>
      </c>
      <c r="B25" s="225">
        <v>0.0058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Gomphonema sp.</v>
      </c>
      <c r="E25" s="228" t="e">
        <f>IF(D25="",,VLOOKUP(D25,D$22:D24,1,0))</f>
        <v>#N/A</v>
      </c>
      <c r="F25" s="229">
        <f t="shared" si="0"/>
        <v>0.0058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 t="str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nc</v>
      </c>
      <c r="K25" s="232" t="str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nc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Gomphonema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8781</v>
      </c>
      <c r="R25" s="219">
        <f t="shared" si="2"/>
        <v>0.0058</v>
      </c>
      <c r="S25" s="220">
        <f t="shared" si="3"/>
        <v>1</v>
      </c>
      <c r="T25" s="220">
        <f t="shared" si="4"/>
        <v>0</v>
      </c>
      <c r="U25" s="220">
        <f t="shared" si="5"/>
        <v>0</v>
      </c>
      <c r="V25" s="236">
        <f t="shared" si="6"/>
        <v>0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GOPSPX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49</v>
      </c>
    </row>
    <row r="26" spans="1:26" ht="12.75">
      <c r="A26" s="224" t="s">
        <v>84</v>
      </c>
      <c r="B26" s="225">
        <v>0.0116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Oedogonium sp.</v>
      </c>
      <c r="E26" s="228" t="e">
        <f>IF(D26="",,VLOOKUP(D26,D$22:D25,1,0))</f>
        <v>#N/A</v>
      </c>
      <c r="F26" s="229">
        <f t="shared" si="0"/>
        <v>0.0116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6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Oedogonium sp.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1134</v>
      </c>
      <c r="R26" s="219">
        <f t="shared" si="2"/>
        <v>0.0116</v>
      </c>
      <c r="S26" s="220">
        <f t="shared" si="3"/>
        <v>1</v>
      </c>
      <c r="T26" s="220">
        <f t="shared" si="4"/>
        <v>6</v>
      </c>
      <c r="U26" s="220">
        <f t="shared" si="5"/>
        <v>12</v>
      </c>
      <c r="V26" s="236">
        <f t="shared" si="6"/>
        <v>2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OEDSPX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85</v>
      </c>
    </row>
    <row r="27" spans="1:26" ht="12.75">
      <c r="A27" s="224" t="s">
        <v>85</v>
      </c>
      <c r="B27" s="225">
        <v>0.0058</v>
      </c>
      <c r="C27" s="226">
        <v>0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Oscillatoria sp.</v>
      </c>
      <c r="E27" s="228" t="e">
        <f>IF(D27="",,VLOOKUP(D27,D$22:D26,1,0))</f>
        <v>#N/A</v>
      </c>
      <c r="F27" s="229">
        <f t="shared" si="0"/>
        <v>0.0058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11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1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Oscillatoria sp.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1108</v>
      </c>
      <c r="R27" s="219">
        <f t="shared" si="2"/>
        <v>0.0058</v>
      </c>
      <c r="S27" s="220">
        <f t="shared" si="3"/>
        <v>1</v>
      </c>
      <c r="T27" s="220">
        <f t="shared" si="4"/>
        <v>11</v>
      </c>
      <c r="U27" s="220">
        <f t="shared" si="5"/>
        <v>11</v>
      </c>
      <c r="V27" s="236">
        <f t="shared" si="6"/>
        <v>1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OSCSPX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86</v>
      </c>
    </row>
    <row r="28" spans="1:26" ht="12.75">
      <c r="A28" s="224" t="s">
        <v>86</v>
      </c>
      <c r="B28" s="225">
        <v>0.0116</v>
      </c>
      <c r="C28" s="226">
        <v>0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Phormidium sp.</v>
      </c>
      <c r="E28" s="228" t="e">
        <f>IF(D28="",,VLOOKUP(D28,D$22:D27,1,0))</f>
        <v>#N/A</v>
      </c>
      <c r="F28" s="229">
        <f t="shared" si="0"/>
        <v>0.0116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13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2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Phormidium sp.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6414</v>
      </c>
      <c r="R28" s="219">
        <f t="shared" si="2"/>
        <v>0.0116</v>
      </c>
      <c r="S28" s="220">
        <f t="shared" si="3"/>
        <v>1</v>
      </c>
      <c r="T28" s="220">
        <f t="shared" si="4"/>
        <v>13</v>
      </c>
      <c r="U28" s="220">
        <f t="shared" si="5"/>
        <v>26</v>
      </c>
      <c r="V28" s="236">
        <f t="shared" si="6"/>
        <v>2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PHOSPX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88</v>
      </c>
    </row>
    <row r="29" spans="1:26" ht="12.75">
      <c r="A29" s="224" t="s">
        <v>87</v>
      </c>
      <c r="B29" s="225">
        <v>8.235422641509434</v>
      </c>
      <c r="C29" s="226">
        <v>0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Spirogyra sp.</v>
      </c>
      <c r="E29" s="228" t="e">
        <f>IF(D29="",,VLOOKUP(D29,D$22:D28,1,0))</f>
        <v>#N/A</v>
      </c>
      <c r="F29" s="229">
        <f t="shared" si="0"/>
        <v>8.235422641509434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ALG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2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10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1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Spirogyra sp.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1147</v>
      </c>
      <c r="R29" s="219">
        <f t="shared" si="2"/>
        <v>8.235422641509434</v>
      </c>
      <c r="S29" s="220">
        <f t="shared" si="3"/>
        <v>3</v>
      </c>
      <c r="T29" s="220">
        <f t="shared" si="4"/>
        <v>30</v>
      </c>
      <c r="U29" s="220">
        <f t="shared" si="5"/>
        <v>30</v>
      </c>
      <c r="V29" s="236">
        <f t="shared" si="6"/>
        <v>3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SPISPX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102</v>
      </c>
    </row>
    <row r="30" spans="1:26" ht="12.75">
      <c r="A30" s="224" t="s">
        <v>88</v>
      </c>
      <c r="B30" s="225">
        <v>0.0058</v>
      </c>
      <c r="C30" s="226">
        <v>0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Ulothrix sp.</v>
      </c>
      <c r="E30" s="228" t="e">
        <f>IF(D30="",,VLOOKUP(D30,D$22:D29,1,0))</f>
        <v>#N/A</v>
      </c>
      <c r="F30" s="229">
        <f t="shared" si="0"/>
        <v>0.0058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ALG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2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10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1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Ulothrix sp.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1142</v>
      </c>
      <c r="R30" s="219">
        <f t="shared" si="2"/>
        <v>0.0058</v>
      </c>
      <c r="S30" s="220">
        <f t="shared" si="3"/>
        <v>1</v>
      </c>
      <c r="T30" s="220">
        <f t="shared" si="4"/>
        <v>10</v>
      </c>
      <c r="U30" s="220">
        <f t="shared" si="5"/>
        <v>10</v>
      </c>
      <c r="V30" s="236">
        <f t="shared" si="6"/>
        <v>1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ULOSPX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116</v>
      </c>
    </row>
    <row r="31" spans="1:26" ht="12.75">
      <c r="A31" s="224" t="s">
        <v>89</v>
      </c>
      <c r="B31" s="225">
        <v>66.9245283018868</v>
      </c>
      <c r="C31" s="226">
        <v>0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Elodea nuttallii</v>
      </c>
      <c r="E31" s="228" t="e">
        <f>IF(D31="",,VLOOKUP(D31,D$22:D30,1,0))</f>
        <v>#N/A</v>
      </c>
      <c r="F31" s="229">
        <f t="shared" si="0"/>
        <v>66.9245283018868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PHy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7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8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2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Elodea nuttallii</v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1588</v>
      </c>
      <c r="R31" s="219">
        <f t="shared" si="2"/>
        <v>66.9245283018868</v>
      </c>
      <c r="S31" s="220">
        <f t="shared" si="3"/>
        <v>5</v>
      </c>
      <c r="T31" s="220">
        <f t="shared" si="4"/>
        <v>40</v>
      </c>
      <c r="U31" s="220">
        <f t="shared" si="5"/>
        <v>80</v>
      </c>
      <c r="V31" s="236">
        <f t="shared" si="6"/>
        <v>10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ELONUT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454</v>
      </c>
    </row>
    <row r="32" spans="1:26" ht="12.75">
      <c r="A32" s="224" t="s">
        <v>90</v>
      </c>
      <c r="B32" s="225">
        <v>0.07924528301886792</v>
      </c>
      <c r="C32" s="226">
        <v>0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Lemna minor</v>
      </c>
      <c r="E32" s="228" t="e">
        <f>IF(D32="",,VLOOKUP(D32,D$22:D31,1,0))</f>
        <v>#N/A</v>
      </c>
      <c r="F32" s="229">
        <f t="shared" si="0"/>
        <v>0.07924528301886792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PHy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7</v>
      </c>
      <c r="I32" s="5">
        <f t="shared" si="1"/>
        <v>1</v>
      </c>
      <c r="J32" s="232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10</v>
      </c>
      <c r="K32" s="232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1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Lemna minor</v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1626</v>
      </c>
      <c r="R32" s="219">
        <f t="shared" si="2"/>
        <v>0.07924528301886792</v>
      </c>
      <c r="S32" s="220">
        <f t="shared" si="3"/>
        <v>1</v>
      </c>
      <c r="T32" s="220">
        <f t="shared" si="4"/>
        <v>10</v>
      </c>
      <c r="U32" s="220">
        <f t="shared" si="5"/>
        <v>10</v>
      </c>
      <c r="V32" s="236">
        <f t="shared" si="6"/>
        <v>1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LEMMIN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473</v>
      </c>
    </row>
    <row r="33" spans="1:26" ht="12.75">
      <c r="A33" s="224" t="s">
        <v>91</v>
      </c>
      <c r="B33" s="225">
        <v>2.4279245283018867</v>
      </c>
      <c r="C33" s="226">
        <v>0</v>
      </c>
      <c r="D33" s="227" t="str">
        <f>IF(ISERROR(VLOOKUP($A33,'[1]liste reference'!$A$6:$B$1174,2,0)),IF(ISERROR(VLOOKUP($A33,'[1]liste reference'!$B$6:$B$1174,1,0)),"",VLOOKUP($A33,'[1]liste reference'!$B$6:$B$1174,1,0)),VLOOKUP($A33,'[1]liste reference'!$A$6:$B$1174,2,0))</f>
        <v>Myriophyllum spicatum</v>
      </c>
      <c r="E33" s="228" t="e">
        <f>IF(D33="",,VLOOKUP(D33,D$22:D32,1,0))</f>
        <v>#N/A</v>
      </c>
      <c r="F33" s="229">
        <f t="shared" si="0"/>
        <v>2.4279245283018867</v>
      </c>
      <c r="G33" s="230" t="str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  <v>PHy</v>
      </c>
      <c r="H33" s="231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7</v>
      </c>
      <c r="I33" s="5">
        <f t="shared" si="1"/>
        <v>1</v>
      </c>
      <c r="J33" s="232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8</v>
      </c>
      <c r="K33" s="232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2</v>
      </c>
      <c r="L33" s="215" t="str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  <v>Myriophyllum spicatum</v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  <v>1778</v>
      </c>
      <c r="R33" s="219">
        <f t="shared" si="2"/>
        <v>2.4279245283018867</v>
      </c>
      <c r="S33" s="220">
        <f t="shared" si="3"/>
        <v>3</v>
      </c>
      <c r="T33" s="220">
        <f t="shared" si="4"/>
        <v>24</v>
      </c>
      <c r="U33" s="220">
        <f t="shared" si="5"/>
        <v>48</v>
      </c>
      <c r="V33" s="236">
        <f t="shared" si="6"/>
        <v>6</v>
      </c>
      <c r="W33" s="237"/>
      <c r="X33" s="238"/>
      <c r="Y33" s="223" t="str">
        <f>IF(AND(ISNUMBER(F33),OR(A33="",A33="!!!!!!")),"!!!!!!",IF(A33="new.cod","NEWCOD",IF(AND((Z33=""),ISTEXT(A33),A33&lt;&gt;"!!!!!!"),A33,IF(Z33="","",INDEX('[1]liste reference'!$A$6:$A$1174,Z33)))))</f>
        <v>MYRSPI</v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  <v>486</v>
      </c>
    </row>
    <row r="34" spans="1:26" ht="12.75">
      <c r="A34" s="224" t="s">
        <v>92</v>
      </c>
      <c r="B34" s="225">
        <v>1.7796226415094338</v>
      </c>
      <c r="C34" s="226">
        <v>0</v>
      </c>
      <c r="D34" s="227" t="str">
        <f>IF(ISERROR(VLOOKUP($A34,'[1]liste reference'!$A$6:$B$1174,2,0)),IF(ISERROR(VLOOKUP($A34,'[1]liste reference'!$B$6:$B$1174,1,0)),"",VLOOKUP($A34,'[1]liste reference'!$B$6:$B$1174,1,0)),VLOOKUP($A34,'[1]liste reference'!$A$6:$B$1174,2,0))</f>
        <v>Potamogeton berchtoldii</v>
      </c>
      <c r="E34" s="228" t="e">
        <f>IF(D34="",,VLOOKUP(D34,D$22:D33,1,0))</f>
        <v>#N/A</v>
      </c>
      <c r="F34" s="229">
        <f t="shared" si="0"/>
        <v>1.7796226415094338</v>
      </c>
      <c r="G34" s="230" t="str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  <v>PHy</v>
      </c>
      <c r="H34" s="231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7</v>
      </c>
      <c r="I34" s="5">
        <f t="shared" si="1"/>
        <v>1</v>
      </c>
      <c r="J34" s="232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9</v>
      </c>
      <c r="K34" s="232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2</v>
      </c>
      <c r="L34" s="215" t="str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  <v>Potamogeton berchtoldii</v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  <v>1642</v>
      </c>
      <c r="R34" s="219">
        <f t="shared" si="2"/>
        <v>1.7796226415094338</v>
      </c>
      <c r="S34" s="220">
        <f t="shared" si="3"/>
        <v>3</v>
      </c>
      <c r="T34" s="220">
        <f t="shared" si="4"/>
        <v>27</v>
      </c>
      <c r="U34" s="220">
        <f t="shared" si="5"/>
        <v>54</v>
      </c>
      <c r="V34" s="236">
        <f t="shared" si="6"/>
        <v>6</v>
      </c>
      <c r="W34" s="237"/>
      <c r="X34" s="238"/>
      <c r="Y34" s="223" t="str">
        <f>IF(AND(ISNUMBER(F34),OR(A34="",A34="!!!!!!")),"!!!!!!",IF(A34="new.cod","NEWCOD",IF(AND((Z34=""),ISTEXT(A34),A34&lt;&gt;"!!!!!!"),A34,IF(Z34="","",INDEX('[1]liste reference'!$A$6:$A$1174,Z34)))))</f>
        <v>POTBER</v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  <v>518</v>
      </c>
    </row>
    <row r="35" spans="1:26" ht="12.75">
      <c r="A35" s="224" t="s">
        <v>93</v>
      </c>
      <c r="B35" s="225">
        <v>0.0058</v>
      </c>
      <c r="C35" s="226">
        <v>0</v>
      </c>
      <c r="D35" s="227" t="str">
        <f>IF(ISERROR(VLOOKUP($A35,'[1]liste reference'!$A$6:$B$1174,2,0)),IF(ISERROR(VLOOKUP($A35,'[1]liste reference'!$B$6:$B$1174,1,0)),"",VLOOKUP($A35,'[1]liste reference'!$B$6:$B$1174,1,0)),VLOOKUP($A35,'[1]liste reference'!$A$6:$B$1174,2,0))</f>
        <v>Potamogeton crispus</v>
      </c>
      <c r="E35" s="228" t="e">
        <f>IF(D35="",,VLOOKUP(D35,D$22:D34,1,0))</f>
        <v>#N/A</v>
      </c>
      <c r="F35" s="229">
        <f t="shared" si="0"/>
        <v>0.0058</v>
      </c>
      <c r="G35" s="230" t="str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  <v>PHy</v>
      </c>
      <c r="H35" s="231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7</v>
      </c>
      <c r="I35" s="5">
        <f t="shared" si="1"/>
        <v>1</v>
      </c>
      <c r="J35" s="232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7</v>
      </c>
      <c r="K35" s="232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2</v>
      </c>
      <c r="L35" s="215" t="str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  <v>Potamogeton crispus</v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  <v>1645</v>
      </c>
      <c r="R35" s="219">
        <f t="shared" si="2"/>
        <v>0.0058</v>
      </c>
      <c r="S35" s="220">
        <f t="shared" si="3"/>
        <v>1</v>
      </c>
      <c r="T35" s="220">
        <f t="shared" si="4"/>
        <v>7</v>
      </c>
      <c r="U35" s="220">
        <f t="shared" si="5"/>
        <v>14</v>
      </c>
      <c r="V35" s="236">
        <f t="shared" si="6"/>
        <v>2</v>
      </c>
      <c r="W35" s="237"/>
      <c r="X35" s="238"/>
      <c r="Y35" s="223" t="str">
        <f>IF(AND(ISNUMBER(F35),OR(A35="",A35="!!!!!!")),"!!!!!!",IF(A35="new.cod","NEWCOD",IF(AND((Z35=""),ISTEXT(A35),A35&lt;&gt;"!!!!!!"),A35,IF(Z35="","",INDEX('[1]liste reference'!$A$6:$A$1174,Z35)))))</f>
        <v>POTCRI</v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  <v>522</v>
      </c>
    </row>
    <row r="36" spans="1:26" ht="12.75">
      <c r="A36" s="224" t="s">
        <v>16</v>
      </c>
      <c r="B36" s="225">
        <v>17.194339622641508</v>
      </c>
      <c r="C36" s="226">
        <v>0</v>
      </c>
      <c r="D36" s="227" t="str">
        <f>IF(ISERROR(VLOOKUP($A36,'[1]liste reference'!$A$6:$B$1174,2,0)),IF(ISERROR(VLOOKUP($A36,'[1]liste reference'!$B$6:$B$1174,1,0)),"",VLOOKUP($A36,'[1]liste reference'!$B$6:$B$1174,1,0)),VLOOKUP($A36,'[1]liste reference'!$A$6:$B$1174,2,0))</f>
        <v>Potamogeton nodosus</v>
      </c>
      <c r="E36" s="228" t="e">
        <f>IF(D36="",,VLOOKUP(D36,D$22:D35,1,0))</f>
        <v>#N/A</v>
      </c>
      <c r="F36" s="229">
        <f t="shared" si="0"/>
        <v>17.194339622641508</v>
      </c>
      <c r="G36" s="230" t="str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  <v>PHy</v>
      </c>
      <c r="H36" s="231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7</v>
      </c>
      <c r="I36" s="5">
        <f t="shared" si="1"/>
        <v>1</v>
      </c>
      <c r="J36" s="232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4</v>
      </c>
      <c r="K36" s="232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3</v>
      </c>
      <c r="L36" s="215" t="str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  <v>Potamogeton nodosus</v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  <v>1652</v>
      </c>
      <c r="R36" s="219">
        <f t="shared" si="2"/>
        <v>17.194339622641508</v>
      </c>
      <c r="S36" s="220">
        <f t="shared" si="3"/>
        <v>4</v>
      </c>
      <c r="T36" s="220">
        <f t="shared" si="4"/>
        <v>16</v>
      </c>
      <c r="U36" s="220">
        <f t="shared" si="5"/>
        <v>48</v>
      </c>
      <c r="V36" s="236">
        <f t="shared" si="6"/>
        <v>12</v>
      </c>
      <c r="W36" s="237"/>
      <c r="X36" s="238"/>
      <c r="Y36" s="223" t="str">
        <f>IF(AND(ISNUMBER(F36),OR(A36="",A36="!!!!!!")),"!!!!!!",IF(A36="new.cod","NEWCOD",IF(AND((Z36=""),ISTEXT(A36),A36&lt;&gt;"!!!!!!"),A36,IF(Z36="","",INDEX('[1]liste reference'!$A$6:$A$1174,Z36)))))</f>
        <v>POTNOD</v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  <v>530</v>
      </c>
    </row>
    <row r="37" spans="1:26" ht="12.75">
      <c r="A37" s="224" t="s">
        <v>94</v>
      </c>
      <c r="B37" s="225">
        <v>3.73377358490566</v>
      </c>
      <c r="C37" s="226">
        <v>0</v>
      </c>
      <c r="D37" s="227" t="str">
        <f>IF(ISERROR(VLOOKUP($A37,'[1]liste reference'!$A$6:$B$1174,2,0)),IF(ISERROR(VLOOKUP($A37,'[1]liste reference'!$B$6:$B$1174,1,0)),"",VLOOKUP($A37,'[1]liste reference'!$B$6:$B$1174,1,0)),VLOOKUP($A37,'[1]liste reference'!$A$6:$B$1174,2,0))</f>
        <v>Potamogeton pectinatus</v>
      </c>
      <c r="E37" s="228" t="e">
        <f>IF(D37="",,VLOOKUP(D37,D$22:D36,1,0))</f>
        <v>#N/A</v>
      </c>
      <c r="F37" s="229">
        <f t="shared" si="0"/>
        <v>3.73377358490566</v>
      </c>
      <c r="G37" s="230" t="str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  <v>PHy</v>
      </c>
      <c r="H37" s="231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7</v>
      </c>
      <c r="I37" s="5">
        <f t="shared" si="1"/>
        <v>1</v>
      </c>
      <c r="J37" s="232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2</v>
      </c>
      <c r="K37" s="232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2</v>
      </c>
      <c r="L37" s="215" t="str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  <v>Potamogeton pectinatus</v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  <v>1655</v>
      </c>
      <c r="R37" s="219">
        <f t="shared" si="2"/>
        <v>3.73377358490566</v>
      </c>
      <c r="S37" s="220">
        <f t="shared" si="3"/>
        <v>3</v>
      </c>
      <c r="T37" s="220">
        <f t="shared" si="4"/>
        <v>6</v>
      </c>
      <c r="U37" s="220">
        <f t="shared" si="5"/>
        <v>12</v>
      </c>
      <c r="V37" s="236">
        <f t="shared" si="6"/>
        <v>6</v>
      </c>
      <c r="W37" s="237"/>
      <c r="X37" s="238"/>
      <c r="Y37" s="223" t="str">
        <f>IF(AND(ISNUMBER(F37),OR(A37="",A37="!!!!!!")),"!!!!!!",IF(A37="new.cod","NEWCOD",IF(AND((Z37=""),ISTEXT(A37),A37&lt;&gt;"!!!!!!"),A37,IF(Z37="","",INDEX('[1]liste reference'!$A$6:$A$1174,Z37)))))</f>
        <v>POTPEC</v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  <v>532</v>
      </c>
    </row>
    <row r="38" spans="1:26" ht="12.75">
      <c r="A38" s="224" t="s">
        <v>95</v>
      </c>
      <c r="B38" s="225">
        <v>0.04542264150943396</v>
      </c>
      <c r="C38" s="226">
        <v>0</v>
      </c>
      <c r="D38" s="227" t="str">
        <f>IF(ISERROR(VLOOKUP($A38,'[1]liste reference'!$A$6:$B$1174,2,0)),IF(ISERROR(VLOOKUP($A38,'[1]liste reference'!$B$6:$B$1174,1,0)),"",VLOOKUP($A38,'[1]liste reference'!$B$6:$B$1174,1,0)),VLOOKUP($A38,'[1]liste reference'!$A$6:$B$1174,2,0))</f>
        <v>Potamogeton perfoliatus</v>
      </c>
      <c r="E38" s="228" t="e">
        <f>IF(D38="",,VLOOKUP(D38,D$22:D37,1,0))</f>
        <v>#N/A</v>
      </c>
      <c r="F38" s="229">
        <f t="shared" si="0"/>
        <v>0.04542264150943396</v>
      </c>
      <c r="G38" s="230" t="str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  <v>PHy</v>
      </c>
      <c r="H38" s="231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7</v>
      </c>
      <c r="I38" s="5">
        <f t="shared" si="1"/>
        <v>1</v>
      </c>
      <c r="J38" s="232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9</v>
      </c>
      <c r="K38" s="232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2</v>
      </c>
      <c r="L38" s="215" t="str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  <v>Potamogeton perfoliatus</v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  <v>1656</v>
      </c>
      <c r="R38" s="219">
        <f t="shared" si="2"/>
        <v>0.04542264150943396</v>
      </c>
      <c r="S38" s="220">
        <f t="shared" si="3"/>
        <v>1</v>
      </c>
      <c r="T38" s="220">
        <f t="shared" si="4"/>
        <v>9</v>
      </c>
      <c r="U38" s="220">
        <f t="shared" si="5"/>
        <v>18</v>
      </c>
      <c r="V38" s="236">
        <f t="shared" si="6"/>
        <v>2</v>
      </c>
      <c r="W38" s="237"/>
      <c r="X38" s="238"/>
      <c r="Y38" s="223" t="str">
        <f>IF(AND(ISNUMBER(F38),OR(A38="",A38="!!!!!!")),"!!!!!!",IF(A38="new.cod","NEWCOD",IF(AND((Z38=""),ISTEXT(A38),A38&lt;&gt;"!!!!!!"),A38,IF(Z38="","",INDEX('[1]liste reference'!$A$6:$A$1174,Z38)))))</f>
        <v>POTPER</v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  <v>533</v>
      </c>
    </row>
    <row r="39" spans="1:26" ht="12.75">
      <c r="A39" s="224" t="s">
        <v>96</v>
      </c>
      <c r="B39" s="225">
        <v>0.4416490566037736</v>
      </c>
      <c r="C39" s="226">
        <v>0</v>
      </c>
      <c r="D39" s="227" t="str">
        <f>IF(ISERROR(VLOOKUP($A39,'[1]liste reference'!$A$6:$B$1174,2,0)),IF(ISERROR(VLOOKUP($A39,'[1]liste reference'!$B$6:$B$1174,1,0)),"",VLOOKUP($A39,'[1]liste reference'!$B$6:$B$1174,1,0)),VLOOKUP($A39,'[1]liste reference'!$A$6:$B$1174,2,0))</f>
        <v>Ranunculus fluitans</v>
      </c>
      <c r="E39" s="228" t="e">
        <f>IF(D39="",,VLOOKUP(D39,D$22:D38,1,0))</f>
        <v>#N/A</v>
      </c>
      <c r="F39" s="229">
        <f t="shared" si="0"/>
        <v>0.4416490566037736</v>
      </c>
      <c r="G39" s="230" t="str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  <v>PHy</v>
      </c>
      <c r="H39" s="231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7</v>
      </c>
      <c r="I39" s="5">
        <f t="shared" si="1"/>
        <v>1</v>
      </c>
      <c r="J39" s="232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10</v>
      </c>
      <c r="K39" s="232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2</v>
      </c>
      <c r="L39" s="215" t="str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  <v>Ranunculus fluitans</v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  <v>1903</v>
      </c>
      <c r="R39" s="219">
        <f t="shared" si="2"/>
        <v>0.4416490566037736</v>
      </c>
      <c r="S39" s="220">
        <f t="shared" si="3"/>
        <v>2</v>
      </c>
      <c r="T39" s="220">
        <f t="shared" si="4"/>
        <v>20</v>
      </c>
      <c r="U39" s="220">
        <f t="shared" si="5"/>
        <v>40</v>
      </c>
      <c r="V39" s="236">
        <f t="shared" si="6"/>
        <v>4</v>
      </c>
      <c r="W39" s="237"/>
      <c r="X39" s="238"/>
      <c r="Y39" s="223" t="str">
        <f>IF(AND(ISNUMBER(F39),OR(A39="",A39="!!!!!!")),"!!!!!!",IF(A39="new.cod","NEWCOD",IF(AND((Z39=""),ISTEXT(A39),A39&lt;&gt;"!!!!!!"),A39,IF(Z39="","",INDEX('[1]liste reference'!$A$6:$A$1174,Z39)))))</f>
        <v>RANFLU</v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  <v>566</v>
      </c>
    </row>
    <row r="40" spans="1:26" ht="12.75">
      <c r="A40" s="224" t="s">
        <v>97</v>
      </c>
      <c r="B40" s="225">
        <v>0.04542264150943396</v>
      </c>
      <c r="C40" s="226">
        <v>0</v>
      </c>
      <c r="D40" s="227" t="str">
        <f>IF(ISERROR(VLOOKUP($A40,'[1]liste reference'!$A$6:$B$1174,2,0)),IF(ISERROR(VLOOKUP($A40,'[1]liste reference'!$B$6:$B$1174,1,0)),"",VLOOKUP($A40,'[1]liste reference'!$B$6:$B$1174,1,0)),VLOOKUP($A40,'[1]liste reference'!$A$6:$B$1174,2,0))</f>
        <v>Berula erecta</v>
      </c>
      <c r="E40" s="228" t="e">
        <f>IF(D40="",,VLOOKUP(D40,D$22:D39,1,0))</f>
        <v>#N/A</v>
      </c>
      <c r="F40" s="229">
        <f t="shared" si="0"/>
        <v>0.04542264150943396</v>
      </c>
      <c r="G40" s="230" t="str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  <v>PHe</v>
      </c>
      <c r="H40" s="231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8</v>
      </c>
      <c r="I40" s="5">
        <f t="shared" si="1"/>
        <v>1</v>
      </c>
      <c r="J40" s="232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14</v>
      </c>
      <c r="K40" s="232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2</v>
      </c>
      <c r="L40" s="215" t="str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  <v>Berula erecta</v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  <v>1977</v>
      </c>
      <c r="R40" s="219">
        <f t="shared" si="2"/>
        <v>0.04542264150943396</v>
      </c>
      <c r="S40" s="220">
        <f t="shared" si="3"/>
        <v>1</v>
      </c>
      <c r="T40" s="220">
        <f t="shared" si="4"/>
        <v>14</v>
      </c>
      <c r="U40" s="220">
        <f t="shared" si="5"/>
        <v>28</v>
      </c>
      <c r="V40" s="236">
        <f t="shared" si="6"/>
        <v>2</v>
      </c>
      <c r="W40" s="237"/>
      <c r="X40" s="238"/>
      <c r="Y40" s="223" t="str">
        <f>IF(AND(ISNUMBER(F40),OR(A40="",A40="!!!!!!")),"!!!!!!",IF(A40="new.cod","NEWCOD",IF(AND((Z40=""),ISTEXT(A40),A40&lt;&gt;"!!!!!!"),A40,IF(Z40="","",INDEX('[1]liste reference'!$A$6:$A$1174,Z40)))))</f>
        <v>BERERE</v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  <v>625</v>
      </c>
    </row>
    <row r="41" spans="1:26" ht="12.75">
      <c r="A41" s="224" t="s">
        <v>98</v>
      </c>
      <c r="B41" s="225">
        <v>0.04542264150943396</v>
      </c>
      <c r="C41" s="226">
        <v>0</v>
      </c>
      <c r="D41" s="227" t="str">
        <f>IF(ISERROR(VLOOKUP($A41,'[1]liste reference'!$A$6:$B$1174,2,0)),IF(ISERROR(VLOOKUP($A41,'[1]liste reference'!$B$6:$B$1174,1,0)),"",VLOOKUP($A41,'[1]liste reference'!$B$6:$B$1174,1,0)),VLOOKUP($A41,'[1]liste reference'!$A$6:$B$1174,2,0))</f>
        <v>Nasturtium officinale</v>
      </c>
      <c r="E41" s="228" t="e">
        <f>IF(D41="",,VLOOKUP(D41,D$22:D40,1,0))</f>
        <v>#N/A</v>
      </c>
      <c r="F41" s="229">
        <f t="shared" si="0"/>
        <v>0.04542264150943396</v>
      </c>
      <c r="G41" s="230" t="str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  <v>PHe</v>
      </c>
      <c r="H41" s="231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8</v>
      </c>
      <c r="I41" s="5">
        <f t="shared" si="1"/>
        <v>1</v>
      </c>
      <c r="J41" s="232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11</v>
      </c>
      <c r="K41" s="232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1</v>
      </c>
      <c r="L41" s="215" t="str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  <v>Nasturtium officinale</v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  <v>1763</v>
      </c>
      <c r="R41" s="219">
        <f t="shared" si="2"/>
        <v>0.04542264150943396</v>
      </c>
      <c r="S41" s="220">
        <f t="shared" si="3"/>
        <v>1</v>
      </c>
      <c r="T41" s="220">
        <f t="shared" si="4"/>
        <v>11</v>
      </c>
      <c r="U41" s="220">
        <f t="shared" si="5"/>
        <v>11</v>
      </c>
      <c r="V41" s="236">
        <f t="shared" si="6"/>
        <v>1</v>
      </c>
      <c r="W41" s="237"/>
      <c r="X41" s="238"/>
      <c r="Y41" s="223" t="str">
        <f>IF(AND(ISNUMBER(F41),OR(A41="",A41="!!!!!!")),"!!!!!!",IF(A41="new.cod","NEWCOD",IF(AND((Z41=""),ISTEXT(A41),A41&lt;&gt;"!!!!!!"),A41,IF(Z41="","",INDEX('[1]liste reference'!$A$6:$A$1174,Z41)))))</f>
        <v>NASOFF</v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  <v>704</v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103.17978113207546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64</v>
      </c>
      <c r="W83" s="220"/>
      <c r="X83" s="258"/>
      <c r="Y83" s="258"/>
      <c r="Z83" s="259"/>
    </row>
    <row r="84" spans="1:26" ht="12.75" hidden="1">
      <c r="A84" s="253" t="str">
        <f>A3</f>
        <v>RHONE</v>
      </c>
      <c r="B84" s="187" t="str">
        <f>C3</f>
        <v>RHONE A BREGNIER CORDON</v>
      </c>
      <c r="C84" s="260" t="str">
        <f>A4</f>
        <v>(Date)</v>
      </c>
      <c r="D84" s="261">
        <f>IF(OR(ISERROR(SUM($U$23:$U$82)/SUM($V$23:$V$82)),F7&lt;&gt;100),-1,SUM($U$23:$U$82)/SUM($V$23:$V$82))</f>
        <v>7.34375</v>
      </c>
      <c r="E84" s="262">
        <f>O13</f>
        <v>19</v>
      </c>
      <c r="F84" s="187">
        <f>O14</f>
        <v>17</v>
      </c>
      <c r="G84" s="187">
        <f>O15</f>
        <v>6</v>
      </c>
      <c r="H84" s="187">
        <f>O16</f>
        <v>10</v>
      </c>
      <c r="I84" s="187">
        <f>O17</f>
        <v>1</v>
      </c>
      <c r="J84" s="263">
        <f>O8</f>
        <v>8.705882352941176</v>
      </c>
      <c r="K84" s="264">
        <f>O9</f>
        <v>2.965779450813066</v>
      </c>
      <c r="L84" s="265">
        <f>O10</f>
        <v>2</v>
      </c>
      <c r="M84" s="265">
        <f>O11</f>
        <v>14</v>
      </c>
      <c r="N84" s="264">
        <f>P8</f>
        <v>1.7058823529411764</v>
      </c>
      <c r="O84" s="264">
        <f>P9</f>
        <v>0.5703152773430975</v>
      </c>
      <c r="P84" s="265">
        <f>P10</f>
        <v>1</v>
      </c>
      <c r="Q84" s="265">
        <f>P11</f>
        <v>3</v>
      </c>
      <c r="R84" s="265">
        <f>F21</f>
        <v>103.17978113207546</v>
      </c>
      <c r="S84" s="265">
        <f>L11</f>
        <v>0</v>
      </c>
      <c r="T84" s="265">
        <f>L12</f>
        <v>8</v>
      </c>
      <c r="U84" s="265">
        <f>L13</f>
        <v>0</v>
      </c>
      <c r="V84" s="266">
        <f>L15</f>
        <v>11</v>
      </c>
      <c r="W84" s="267">
        <f>L15</f>
        <v>11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99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100</v>
      </c>
      <c r="S87" s="5"/>
      <c r="T87" s="272">
        <f>VLOOKUP($T$91,($A$23:$U$82),20,FALSE)</f>
        <v>16</v>
      </c>
      <c r="U87" s="5"/>
      <c r="V87" s="5"/>
    </row>
    <row r="88" spans="3:22" ht="12.75" hidden="1">
      <c r="C88" s="269"/>
      <c r="D88" s="269"/>
      <c r="E88" s="269"/>
      <c r="R88" s="5" t="s">
        <v>101</v>
      </c>
      <c r="S88" s="5"/>
      <c r="T88" s="272">
        <f>VLOOKUP($T$91,($A$23:$U$82),21,FALSE)</f>
        <v>48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102</v>
      </c>
      <c r="S89" s="5"/>
      <c r="T89" s="272">
        <f>MAX($V$23:$V$82)</f>
        <v>12</v>
      </c>
      <c r="U89" s="5"/>
    </row>
    <row r="90" spans="3:21" ht="12.75" hidden="1">
      <c r="C90" s="269"/>
      <c r="D90" s="269"/>
      <c r="E90" s="269"/>
      <c r="R90" s="5" t="s">
        <v>103</v>
      </c>
      <c r="S90" s="5" t="s">
        <v>10</v>
      </c>
      <c r="T90" s="273">
        <f>IF(OR(ISERROR(SUM($U$23:$U$82)/SUM($V$23:$V$82)),F7&lt;&gt;100),-1,(SUM($U$23:$U$82)-T88)/(SUM($V$23:$V$82)-T89))</f>
        <v>8.115384615384615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104</v>
      </c>
      <c r="S91" s="220"/>
      <c r="T91" s="220" t="str">
        <f>INDEX('[1]liste reference'!$A$6:$A$1174,$U$91)</f>
        <v>POTNOD</v>
      </c>
      <c r="U91" s="5">
        <f>IF(ISERROR(MATCH($T$93,'[1]liste reference'!$A$6:$A$1174,0)),MATCH($T$93,'[1]liste reference'!$B$6:$B$1174,0),(MATCH($T$93,'[1]liste reference'!$A$6:$A$1174,0)))</f>
        <v>530</v>
      </c>
      <c r="V91" s="274"/>
    </row>
    <row r="92" spans="3:21" ht="12.75" hidden="1">
      <c r="C92" s="269"/>
      <c r="D92" s="269"/>
      <c r="E92" s="269"/>
      <c r="R92" s="5" t="s">
        <v>105</v>
      </c>
      <c r="S92" s="5"/>
      <c r="T92" s="5">
        <f>MATCH(T89,$V$23:$V$82,0)</f>
        <v>14</v>
      </c>
      <c r="U92" s="5"/>
    </row>
    <row r="93" spans="3:21" ht="12.75" hidden="1">
      <c r="C93" s="269"/>
      <c r="D93" s="269"/>
      <c r="E93" s="269"/>
      <c r="R93" s="220" t="s">
        <v>106</v>
      </c>
      <c r="S93" s="5"/>
      <c r="T93" s="220" t="str">
        <f>INDEX($A$23:$A$82,$T$92)</f>
        <v>POTNOD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2016-04-06T08:07:23Z</dcterms:created>
  <dcterms:modified xsi:type="dcterms:W3CDTF">2016-04-06T08:07:26Z</dcterms:modified>
  <cp:category/>
  <cp:version/>
  <cp:contentType/>
  <cp:contentStatus/>
</cp:coreProperties>
</file>