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<sst xmlns="http://schemas.openxmlformats.org/spreadsheetml/2006/main" count="105" uniqueCount="101">
  <si>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</si>
  <si>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</si>
  <si>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</si>
  <si>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C.BERNARD S.RENAHY</t>
  </si>
  <si>
    <t xml:space="preserve">conforme AFNOR T90-395 oct. 2003</t>
  </si>
  <si>
    <t xml:space="preserve">Guiers Mort</t>
  </si>
  <si>
    <t xml:space="preserve">Guiers Mort à St Laurent du Pont</t>
  </si>
  <si>
    <t xml:space="preserve">06078200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</si>
  <si>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</si>
  <si>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</si>
  <si>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</si>
  <si>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</si>
  <si>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</si>
  <si>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</si>
  <si>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</si>
  <si>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</si>
  <si>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</si>
  <si>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</si>
  <si>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</si>
  <si>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</si>
  <si>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</si>
  <si>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</si>
  <si>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</si>
  <si>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</si>
  <si>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</si>
  <si>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</si>
  <si>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</si>
  <si>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</si>
  <si>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</si>
  <si>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</si>
  <si>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</si>
  <si>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</si>
  <si>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</si>
  <si>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</si>
  <si>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</si>
  <si>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</si>
  <si>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</si>
  <si>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</si>
  <si>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</si>
  <si>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</si>
  <si>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</si>
  <si>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</si>
  <si>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</si>
  <si>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</si>
  <si>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</si>
  <si>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</si>
  <si>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</si>
  <si>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</si>
  <si>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</si>
  <si>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</si>
  <si>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</si>
  <si>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</si>
  <si>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</si>
  <si>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</si>
  <si>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</si>
  <si>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</si>
  <si>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</si>
  <si>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</si>
  <si>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</si>
  <si>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</si>
  <si>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</si>
  <si>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</si>
  <si>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</si>
  <si>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</si>
  <si>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</si>
  <si>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</si>
  <si>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</si>
  <si>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</si>
  <si>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</si>
  <si>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</si>
  <si>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</si>
  <si>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</si>
  <si>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</si>
  <si>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</si>
  <si>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</si>
  <si>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</si>
  <si>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</si>
  <si>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</si>
  <si>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</si>
  <si>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AUDSPX</t>
  </si>
  <si>
    <t xml:space="preserve">CLASPX</t>
  </si>
  <si>
    <t xml:space="preserve">DIASPX</t>
  </si>
  <si>
    <t xml:space="preserve">LEASPX</t>
  </si>
  <si>
    <t xml:space="preserve">MELSPX</t>
  </si>
  <si>
    <t xml:space="preserve">MICSPX</t>
  </si>
  <si>
    <t xml:space="preserve">PHOSPX</t>
  </si>
  <si>
    <t xml:space="preserve">ULOSPX</t>
  </si>
  <si>
    <t xml:space="preserve">VAUSPX</t>
  </si>
  <si>
    <t xml:space="preserve">CINRIP</t>
  </si>
  <si>
    <t xml:space="preserve">FONANT</t>
  </si>
  <si>
    <t xml:space="preserve">HYGLUR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</si>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</sst>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GUIMO_03-09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41520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12.2444444444444</v>
      </c>
      <c r="M5" s="53"/>
      <c r="N5" s="54" t="s">
        <v>16</v>
      </c>
      <c r="O5" s="55" t="n">
        <v>11.8205128205128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11.7142857142857</v>
      </c>
      <c r="O8" s="84" t="n">
        <f aca="false">IF(ISERROR(AVERAGE(J23:J82)),"      -",AVERAGE(J23:J82))</f>
        <v>1.64285714285714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11.2</v>
      </c>
      <c r="C9" s="87" t="n">
        <v>24</v>
      </c>
      <c r="D9" s="88"/>
      <c r="E9" s="88"/>
      <c r="F9" s="89" t="n">
        <f aca="false">($B9*$B$7+$C9*$C$7)/100</f>
        <v>13.76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3.59421303583118</v>
      </c>
      <c r="O9" s="84" t="n">
        <f aca="false">IF(ISERROR(STDEVP(J23:J82)),"      -",STDEVP(J23:J82))</f>
        <v>0.610285981808395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33</v>
      </c>
      <c r="D10" s="100"/>
      <c r="E10" s="100"/>
      <c r="F10" s="89"/>
      <c r="G10" s="90"/>
      <c r="H10" s="101"/>
      <c r="I10" s="102"/>
      <c r="J10" s="103" t="s">
        <v>34</v>
      </c>
      <c r="K10" s="103"/>
      <c r="L10" s="104"/>
      <c r="M10" s="105" t="s">
        <v>35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36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37</v>
      </c>
      <c r="J11" s="114"/>
      <c r="K11" s="115" t="n">
        <f aca="false">COUNTIF($G$23:$G$82,"=HET")</f>
        <v>0</v>
      </c>
      <c r="L11" s="116"/>
      <c r="M11" s="105" t="s">
        <v>38</v>
      </c>
      <c r="N11" s="106" t="n">
        <f aca="false">MAX(I23:I82)</f>
        <v>19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39</v>
      </c>
      <c r="B12" s="118" t="n">
        <v>2</v>
      </c>
      <c r="C12" s="119" t="n">
        <v>23.1</v>
      </c>
      <c r="D12" s="111"/>
      <c r="E12" s="111"/>
      <c r="F12" s="112" t="n">
        <f aca="false">($B12*$B$7+$C12*$C$7)/100</f>
        <v>6.22</v>
      </c>
      <c r="G12" s="120"/>
      <c r="H12" s="68"/>
      <c r="I12" s="121" t="s">
        <v>40</v>
      </c>
      <c r="J12" s="121"/>
      <c r="K12" s="115" t="n">
        <f aca="false">COUNTIF($G$23:$G$82,"=ALG")</f>
        <v>9</v>
      </c>
      <c r="L12" s="122"/>
      <c r="M12" s="123"/>
      <c r="N12" s="124" t="s">
        <v>34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41</v>
      </c>
      <c r="B13" s="118" t="n">
        <v>9.2</v>
      </c>
      <c r="C13" s="119" t="n">
        <v>0.9</v>
      </c>
      <c r="D13" s="111"/>
      <c r="E13" s="111"/>
      <c r="F13" s="112" t="n">
        <f aca="false">($B13*$B$7+$C13*$C$7)/100</f>
        <v>7.54</v>
      </c>
      <c r="G13" s="120"/>
      <c r="H13" s="68"/>
      <c r="I13" s="121" t="s">
        <v>42</v>
      </c>
      <c r="J13" s="121"/>
      <c r="K13" s="115" t="n">
        <f aca="false">COUNTIF($G$23:$G$82,"=BRm")+COUNTIF($G$23:$G$82,"=BRh")</f>
        <v>5</v>
      </c>
      <c r="L13" s="116"/>
      <c r="M13" s="127" t="s">
        <v>43</v>
      </c>
      <c r="N13" s="128" t="n">
        <f aca="false">COUNTIF(F23:F82,"&gt;0")</f>
        <v>14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44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45</v>
      </c>
      <c r="J14" s="121"/>
      <c r="K14" s="115" t="n">
        <f aca="false">COUNTIF($G$23:$G$82,"=PTE")+COUNTIF($G$23:$G$82,"=LIC")</f>
        <v>0</v>
      </c>
      <c r="L14" s="116"/>
      <c r="M14" s="131" t="s">
        <v>46</v>
      </c>
      <c r="N14" s="132" t="n">
        <f aca="false">COUNTIF($I$23:$I$82,"&gt;-1")</f>
        <v>14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47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48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49</v>
      </c>
      <c r="N15" s="138" t="n">
        <f aca="false">COUNTIF(J23:J82,"=1")</f>
        <v>6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50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51</v>
      </c>
      <c r="N16" s="138" t="n">
        <f aca="false">COUNTIF(J23:J82,"=2")</f>
        <v>7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52</v>
      </c>
      <c r="B17" s="118" t="n">
        <v>11.2</v>
      </c>
      <c r="C17" s="119" t="n">
        <v>24</v>
      </c>
      <c r="D17" s="111"/>
      <c r="E17" s="111"/>
      <c r="F17" s="143"/>
      <c r="G17" s="112" t="n">
        <f aca="false">($B17*$B$7+$C17*$C$7)/100</f>
        <v>13.76</v>
      </c>
      <c r="H17" s="68"/>
      <c r="I17" s="121"/>
      <c r="J17" s="121"/>
      <c r="K17" s="142"/>
      <c r="L17" s="116"/>
      <c r="M17" s="137" t="s">
        <v>53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54</v>
      </c>
      <c r="B18" s="145"/>
      <c r="C18" s="146"/>
      <c r="D18" s="111"/>
      <c r="E18" s="147" t="s">
        <v>55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13.76</v>
      </c>
      <c r="G19" s="156" t="n">
        <f aca="false">SUM(G16:G18)</f>
        <v>13.76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56</v>
      </c>
      <c r="B20" s="165" t="n">
        <f aca="false">SUM(B23:B82)</f>
        <v>11.23</v>
      </c>
      <c r="C20" s="166" t="n">
        <f aca="false">SUM(C23:C82)</f>
        <v>24.03</v>
      </c>
      <c r="D20" s="167"/>
      <c r="E20" s="168" t="s">
        <v>55</v>
      </c>
      <c r="F20" s="169" t="n">
        <f aca="false">($B20*$B$7+$C20*$C$7)/100</f>
        <v>13.79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57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58</v>
      </c>
      <c r="B21" s="179" t="n">
        <f aca="false">B20*B7/100</f>
        <v>8.984</v>
      </c>
      <c r="C21" s="179" t="n">
        <f aca="false">C20*C7/100</f>
        <v>4.806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13.79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59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60</v>
      </c>
      <c r="B22" s="190" t="s">
        <v>61</v>
      </c>
      <c r="C22" s="191" t="s">
        <v>61</v>
      </c>
      <c r="D22" s="140"/>
      <c r="E22" s="140"/>
      <c r="F22" s="192" t="s">
        <v>62</v>
      </c>
      <c r="G22" s="193" t="s">
        <v>63</v>
      </c>
      <c r="H22" s="140"/>
      <c r="I22" s="194" t="s">
        <v>64</v>
      </c>
      <c r="J22" s="194" t="s">
        <v>65</v>
      </c>
      <c r="K22" s="195" t="s">
        <v>66</v>
      </c>
      <c r="L22" s="195"/>
      <c r="M22" s="195"/>
      <c r="N22" s="195"/>
      <c r="O22" s="195"/>
      <c r="P22" s="196" t="s">
        <v>67</v>
      </c>
      <c r="Q22" s="197" t="s">
        <v>68</v>
      </c>
      <c r="R22" s="198" t="s">
        <v>69</v>
      </c>
      <c r="S22" s="199" t="s">
        <v>70</v>
      </c>
      <c r="T22" s="200" t="s">
        <v>71</v>
      </c>
      <c r="U22" s="201" t="s">
        <v>72</v>
      </c>
      <c r="V22" s="199" t="s">
        <v>73</v>
      </c>
      <c r="Y22" s="10" t="s">
        <v>74</v>
      </c>
      <c r="Z22" s="10" t="s">
        <v>75</v>
      </c>
      <c r="AA22" s="202" t="s">
        <v>76</v>
      </c>
      <c r="AB22" s="202" t="s">
        <v>77</v>
      </c>
      <c r="AC22" s="202" t="s">
        <v>78</v>
      </c>
    </row>
    <row r="23" customFormat="false" ht="12.75" hidden="false" customHeight="false" outlineLevel="0" collapsed="false">
      <c r="A23" s="203" t="s">
        <v>79</v>
      </c>
      <c r="B23" s="204" t="n">
        <v>0.1</v>
      </c>
      <c r="C23" s="205" t="n">
        <v>0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Audouinella sp.</v>
      </c>
      <c r="E23" s="206" t="e">
        <f aca="false">IF(D23="",0,VLOOKUP(D23,D$22:D22,1,0))</f>
        <v>#N/A</v>
      </c>
      <c r="F23" s="207" t="n">
        <f aca="false">($B23*$B$7+$C23*$C$7)/100</f>
        <v>0.08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13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Audouinella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6076</v>
      </c>
      <c r="Q23" s="215" t="n">
        <f aca="false">IF(ISTEXT(H23),"",(B23*$B$7/100)+(C23*$C$7/100))</f>
        <v>0.08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13</v>
      </c>
      <c r="T23" s="216" t="n">
        <f aca="false">IF(ISERROR(R23*I23*J23),0,R23*I23*J23)</f>
        <v>26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AUDSPX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5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80</v>
      </c>
      <c r="B24" s="223" t="n">
        <v>1.5</v>
      </c>
      <c r="C24" s="224" t="n">
        <v>2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Cladophora sp.</v>
      </c>
      <c r="E24" s="225" t="e">
        <f aca="false">IF(D24="",0,VLOOKUP(D24,D$22:D23,1,0))</f>
        <v>#N/A</v>
      </c>
      <c r="F24" s="226" t="n">
        <f aca="false">($B24*$B$7+$C24*$C$7)/100</f>
        <v>1.6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Cladophora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1124</v>
      </c>
      <c r="Q24" s="215" t="n">
        <f aca="false">IF(ISTEXT(H24),"",(B24*$B$7/100)+(C24*$C$7/100))</f>
        <v>1.6</v>
      </c>
      <c r="R24" s="216" t="n">
        <f aca="false">IF(OR(ISTEXT(H24),Q24=0),"",IF(Q24&lt;0.1,1,IF(Q24&lt;1,2,IF(Q24&lt;10,3,IF(Q24&lt;50,4,IF(Q24&gt;=50,5,""))))))</f>
        <v>3</v>
      </c>
      <c r="S24" s="216" t="n">
        <f aca="false">IF(ISERROR(R24*I24),0,R24*I24)</f>
        <v>18</v>
      </c>
      <c r="T24" s="216" t="n">
        <f aca="false">IF(ISERROR(R24*I24*J24),0,R24*I24*J24)</f>
        <v>18</v>
      </c>
      <c r="U24" s="228" t="n">
        <f aca="false">IF(ISERROR(R24*J24),0,R24*J24)</f>
        <v>3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CLASPX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23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81</v>
      </c>
      <c r="B25" s="223" t="n">
        <v>0</v>
      </c>
      <c r="C25" s="224" t="n">
        <v>7.61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Diatoma sp.</v>
      </c>
      <c r="E25" s="225" t="e">
        <f aca="false">IF(D25="",0,VLOOKUP(D25,D$22:D24,1,0))</f>
        <v>#N/A</v>
      </c>
      <c r="F25" s="226" t="n">
        <f aca="false">($B25*$B$7+$C25*$C$7)/100</f>
        <v>1.522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12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Diatoma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6627</v>
      </c>
      <c r="Q25" s="215" t="n">
        <f aca="false">IF(ISTEXT(H25),"",(B25*$B$7/100)+(C25*$C$7/100))</f>
        <v>1.522</v>
      </c>
      <c r="R25" s="216" t="n">
        <f aca="false">IF(OR(ISTEXT(H25),Q25=0),"",IF(Q25&lt;0.1,1,IF(Q25&lt;1,2,IF(Q25&lt;10,3,IF(Q25&lt;50,4,IF(Q25&gt;=50,5,""))))))</f>
        <v>3</v>
      </c>
      <c r="S25" s="216" t="n">
        <f aca="false">IF(ISERROR(R25*I25),0,R25*I25)</f>
        <v>36</v>
      </c>
      <c r="T25" s="216" t="n">
        <f aca="false">IF(ISERROR(R25*I25*J25),0,R25*I25*J25)</f>
        <v>72</v>
      </c>
      <c r="U25" s="228" t="n">
        <f aca="false">IF(ISERROR(R25*J25),0,R25*J25)</f>
        <v>6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DIASPX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26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82</v>
      </c>
      <c r="B26" s="223" t="n">
        <v>0.1</v>
      </c>
      <c r="C26" s="224" t="n">
        <v>0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Lemanea sp.</v>
      </c>
      <c r="E26" s="225" t="e">
        <f aca="false">IF(D26="",0,VLOOKUP(D26,D$22:D25,1,0))</f>
        <v>#N/A</v>
      </c>
      <c r="F26" s="226" t="n">
        <f aca="false">($B26*$B$7+$C26*$C$7)/100</f>
        <v>0.08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15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Lemanea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1159</v>
      </c>
      <c r="Q26" s="215" t="n">
        <f aca="false">IF(ISTEXT(H26),"",(B26*$B$7/100)+(C26*$C$7/100))</f>
        <v>0.08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15</v>
      </c>
      <c r="T26" s="216" t="n">
        <f aca="false">IF(ISERROR(R26*I26*J26),0,R26*I26*J26)</f>
        <v>30</v>
      </c>
      <c r="U26" s="228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LEASPX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34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83</v>
      </c>
      <c r="B27" s="223" t="n">
        <v>0</v>
      </c>
      <c r="C27" s="224" t="n">
        <v>0.41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Melosira sp.</v>
      </c>
      <c r="E27" s="225" t="e">
        <f aca="false">IF(D27="",0,VLOOKUP(D27,D$22:D26,1,0))</f>
        <v>#N/A</v>
      </c>
      <c r="F27" s="226" t="n">
        <f aca="false">($B27*$B$7+$C27*$C$7)/100</f>
        <v>0.082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Melosira sp.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8714</v>
      </c>
      <c r="Q27" s="215" t="n">
        <f aca="false">IF(ISTEXT(H27),"",(B27*$B$7/100)+(C27*$C$7/100))</f>
        <v>0.082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10</v>
      </c>
      <c r="T27" s="216" t="n">
        <f aca="false">IF(ISERROR(R27*I27*J27),0,R27*I27*J27)</f>
        <v>10</v>
      </c>
      <c r="U27" s="228" t="n">
        <f aca="false">IF(ISERROR(R27*J27),0,R27*J27)</f>
        <v>1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MELSPX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36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84</v>
      </c>
      <c r="B28" s="223" t="n">
        <v>0.01</v>
      </c>
      <c r="C28" s="224" t="n">
        <v>0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Microspora sp.</v>
      </c>
      <c r="E28" s="225" t="e">
        <f aca="false">IF(D28="",0,VLOOKUP(D28,D$22:D27,1,0))</f>
        <v>#N/A</v>
      </c>
      <c r="F28" s="226" t="n">
        <f aca="false">($B28*$B$7+$C28*$C$7)/100</f>
        <v>0.008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Microspora sp.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1132</v>
      </c>
      <c r="Q28" s="215" t="n">
        <f aca="false">IF(ISTEXT(H28),"",(B28*$B$7/100)+(C28*$C$7/100))</f>
        <v>0.008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12</v>
      </c>
      <c r="T28" s="216" t="n">
        <f aca="false">IF(ISERROR(R28*I28*J28),0,R28*I28*J28)</f>
        <v>24</v>
      </c>
      <c r="U28" s="228" t="n">
        <f aca="false">IF(ISERROR(R28*J28),0,R28*J28)</f>
        <v>2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MICSPX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41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85</v>
      </c>
      <c r="B29" s="223" t="n">
        <v>0.11</v>
      </c>
      <c r="C29" s="224" t="n">
        <v>0.1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Phormidium sp.</v>
      </c>
      <c r="E29" s="225" t="e">
        <f aca="false">IF(D29="",0,VLOOKUP(D29,D$22:D28,1,0))</f>
        <v>#N/A</v>
      </c>
      <c r="F29" s="226" t="n">
        <f aca="false">($B29*$B$7+$C29*$C$7)/100</f>
        <v>0.108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2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13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Phormidium sp.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6414</v>
      </c>
      <c r="Q29" s="215" t="n">
        <f aca="false">IF(ISTEXT(H29),"",(B29*$B$7/100)+(C29*$C$7/100))</f>
        <v>0.108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26</v>
      </c>
      <c r="T29" s="216" t="n">
        <f aca="false">IF(ISERROR(R29*I29*J29),0,R29*I29*J29)</f>
        <v>52</v>
      </c>
      <c r="U29" s="228" t="n">
        <f aca="false">IF(ISERROR(R29*J29),0,R29*J29)</f>
        <v>4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PHOSPX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57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86</v>
      </c>
      <c r="B30" s="223" t="n">
        <v>0</v>
      </c>
      <c r="C30" s="224" t="n">
        <v>13.01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Ulothrix sp.</v>
      </c>
      <c r="E30" s="225" t="e">
        <f aca="false">IF(D30="",0,VLOOKUP(D30,D$22:D29,1,0))</f>
        <v>#N/A</v>
      </c>
      <c r="F30" s="226" t="n">
        <f aca="false">($B30*$B$7+$C30*$C$7)/100</f>
        <v>2.602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ALG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2</v>
      </c>
      <c r="I30" s="210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10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Ulothrix sp.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1142</v>
      </c>
      <c r="Q30" s="215" t="n">
        <f aca="false">IF(ISTEXT(H30),"",(B30*$B$7/100)+(C30*$C$7/100))</f>
        <v>2.602</v>
      </c>
      <c r="R30" s="216" t="n">
        <f aca="false">IF(OR(ISTEXT(H30),Q30=0),"",IF(Q30&lt;0.1,1,IF(Q30&lt;1,2,IF(Q30&lt;10,3,IF(Q30&lt;50,4,IF(Q30&gt;=50,5,""))))))</f>
        <v>3</v>
      </c>
      <c r="S30" s="216" t="n">
        <f aca="false">IF(ISERROR(R30*I30),0,R30*I30)</f>
        <v>30</v>
      </c>
      <c r="T30" s="216" t="n">
        <f aca="false">IF(ISERROR(R30*I30*J30),0,R30*I30*J30)</f>
        <v>30</v>
      </c>
      <c r="U30" s="228" t="n">
        <f aca="false">IF(ISERROR(R30*J30),0,R30*J30)</f>
        <v>3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ULOSPX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81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87</v>
      </c>
      <c r="B31" s="223" t="n">
        <v>0.2</v>
      </c>
      <c r="C31" s="224" t="n">
        <v>0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Vaucheria sp.</v>
      </c>
      <c r="E31" s="225" t="e">
        <f aca="false">IF(D31="",0,VLOOKUP(D31,D$22:D30,1,0))</f>
        <v>#N/A</v>
      </c>
      <c r="F31" s="226" t="n">
        <f aca="false">($B31*$B$7+$C31*$C$7)/100</f>
        <v>0.16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ALG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2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4</v>
      </c>
      <c r="J31" s="210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Vaucheria sp.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6193</v>
      </c>
      <c r="Q31" s="215" t="n">
        <f aca="false">IF(ISTEXT(H31),"",(B31*$B$7/100)+(C31*$C$7/100))</f>
        <v>0.16</v>
      </c>
      <c r="R31" s="216" t="n">
        <f aca="false">IF(OR(ISTEXT(H31),Q31=0),"",IF(Q31&lt;0.1,1,IF(Q31&lt;1,2,IF(Q31&lt;10,3,IF(Q31&lt;50,4,IF(Q31&gt;=50,5,""))))))</f>
        <v>2</v>
      </c>
      <c r="S31" s="216" t="n">
        <f aca="false">IF(ISERROR(R31*I31),0,R31*I31)</f>
        <v>8</v>
      </c>
      <c r="T31" s="216" t="n">
        <f aca="false">IF(ISERROR(R31*I31*J31),0,R31*I31*J31)</f>
        <v>8</v>
      </c>
      <c r="U31" s="228" t="n">
        <f aca="false">IF(ISERROR(R31*J31),0,R31*J31)</f>
        <v>2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VAUSPX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82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 t="s">
        <v>16</v>
      </c>
      <c r="B32" s="223" t="n">
        <v>3</v>
      </c>
      <c r="C32" s="224" t="n">
        <v>0.1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Cinclidotus aquaticus</v>
      </c>
      <c r="E32" s="225" t="e">
        <f aca="false">IF(D32="",0,VLOOKUP(D32,D$22:D31,1,0))</f>
        <v>#N/A</v>
      </c>
      <c r="F32" s="226" t="n">
        <f aca="false">($B32*$B$7+$C32*$C$7)/100</f>
        <v>2.42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0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15</v>
      </c>
      <c r="J32" s="210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2</v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Cinclidotus aquaticus</v>
      </c>
      <c r="L32" s="227"/>
      <c r="M32" s="227"/>
      <c r="N32" s="227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1318</v>
      </c>
      <c r="Q32" s="215" t="n">
        <f aca="false">IF(ISTEXT(H32),"",(B32*$B$7/100)+(C32*$C$7/100))</f>
        <v>2.42</v>
      </c>
      <c r="R32" s="216" t="n">
        <f aca="false">IF(OR(ISTEXT(H32),Q32=0),"",IF(Q32&lt;0.1,1,IF(Q32&lt;1,2,IF(Q32&lt;10,3,IF(Q32&lt;50,4,IF(Q32&gt;=50,5,""))))))</f>
        <v>3</v>
      </c>
      <c r="S32" s="216" t="n">
        <f aca="false">IF(ISERROR(R32*I32),0,R32*I32)</f>
        <v>45</v>
      </c>
      <c r="T32" s="216" t="n">
        <f aca="false">IF(ISERROR(R32*I32*J32),0,R32*I32*J32)</f>
        <v>90</v>
      </c>
      <c r="U32" s="228" t="n">
        <f aca="false">IF(ISERROR(R32*J32),0,R32*J32)</f>
        <v>6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CINAQU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170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22" t="s">
        <v>88</v>
      </c>
      <c r="B33" s="223" t="n">
        <v>4</v>
      </c>
      <c r="C33" s="224" t="n">
        <v>0.2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Cinclidotus riparius</v>
      </c>
      <c r="E33" s="225" t="e">
        <f aca="false">IF(D33="",0,VLOOKUP(D33,D$22:D32,1,0))</f>
        <v>#N/A</v>
      </c>
      <c r="F33" s="226" t="n">
        <f aca="false">($B33*$B$7+$C33*$C$7)/100</f>
        <v>3.24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13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Cinclidotus riparius</v>
      </c>
      <c r="L33" s="227"/>
      <c r="M33" s="227"/>
      <c r="N33" s="227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1321</v>
      </c>
      <c r="Q33" s="215" t="n">
        <f aca="false">IF(ISTEXT(H33),"",(B33*$B$7/100)+(C33*$C$7/100))</f>
        <v>3.24</v>
      </c>
      <c r="R33" s="216" t="n">
        <f aca="false">IF(OR(ISTEXT(H33),Q33=0),"",IF(Q33&lt;0.1,1,IF(Q33&lt;1,2,IF(Q33&lt;10,3,IF(Q33&lt;50,4,IF(Q33&gt;=50,5,""))))))</f>
        <v>3</v>
      </c>
      <c r="S33" s="216" t="n">
        <f aca="false">IF(ISERROR(R33*I33),0,R33*I33)</f>
        <v>39</v>
      </c>
      <c r="T33" s="216" t="n">
        <f aca="false">IF(ISERROR(R33*I33*J33),0,R33*I33*J33)</f>
        <v>78</v>
      </c>
      <c r="U33" s="228" t="n">
        <f aca="false">IF(ISERROR(R33*J33),0,R33*J33)</f>
        <v>6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CINRIP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174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22" t="s">
        <v>89</v>
      </c>
      <c r="B34" s="223" t="n">
        <v>0.2</v>
      </c>
      <c r="C34" s="224" t="n">
        <v>0.2</v>
      </c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Fontinalis antipyretica</v>
      </c>
      <c r="E34" s="225" t="e">
        <f aca="false">IF(D34="",0,VLOOKUP(D34,D$22:D33,1,0))</f>
        <v>#N/A</v>
      </c>
      <c r="F34" s="230" t="n">
        <f aca="false">($B34*$B$7+$C34*$C$7)/100</f>
        <v>0.2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BRm</v>
      </c>
      <c r="H34" s="209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5</v>
      </c>
      <c r="I34" s="210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10</v>
      </c>
      <c r="J34" s="210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1</v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Fontinalis antipyretica</v>
      </c>
      <c r="L34" s="227"/>
      <c r="M34" s="227"/>
      <c r="N34" s="227"/>
      <c r="O34" s="213"/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1310</v>
      </c>
      <c r="Q34" s="215" t="n">
        <f aca="false">IF(ISTEXT(H34),"",(B34*$B$7/100)+(C34*$C$7/100))</f>
        <v>0.2</v>
      </c>
      <c r="R34" s="216" t="n">
        <f aca="false">IF(OR(ISTEXT(H34),Q34=0),"",IF(Q34&lt;0.1,1,IF(Q34&lt;1,2,IF(Q34&lt;10,3,IF(Q34&lt;50,4,IF(Q34&gt;=50,5,""))))))</f>
        <v>2</v>
      </c>
      <c r="S34" s="216" t="n">
        <f aca="false">IF(ISERROR(R34*I34),0,R34*I34)</f>
        <v>20</v>
      </c>
      <c r="T34" s="216" t="n">
        <f aca="false">IF(ISERROR(R34*I34*J34),0,R34*I34*J34)</f>
        <v>20</v>
      </c>
      <c r="U34" s="228" t="n">
        <f aca="false">IF(ISERROR(R34*J34),0,R34*J34)</f>
        <v>2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>FONANT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210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22" t="s">
        <v>90</v>
      </c>
      <c r="B35" s="223" t="n">
        <v>0.01</v>
      </c>
      <c r="C35" s="224" t="n">
        <v>0</v>
      </c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Hygrohypnum luridum</v>
      </c>
      <c r="E35" s="225" t="e">
        <f aca="false">IF(D35="",0,VLOOKUP(D35,D$22:D34,1,0))</f>
        <v>#N/A</v>
      </c>
      <c r="F35" s="230" t="n">
        <f aca="false">($B35*$B$7+$C35*$C$7)/100</f>
        <v>0.008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BRm</v>
      </c>
      <c r="H35" s="209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5</v>
      </c>
      <c r="I35" s="210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19</v>
      </c>
      <c r="J35" s="210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3</v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Hygrohypnum luridum</v>
      </c>
      <c r="L35" s="227"/>
      <c r="M35" s="227"/>
      <c r="N35" s="227"/>
      <c r="O35" s="213"/>
      <c r="P35" s="214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1240</v>
      </c>
      <c r="Q35" s="215" t="n">
        <f aca="false">IF(ISTEXT(H35),"",(B35*$B$7/100)+(C35*$C$7/100))</f>
        <v>0.008</v>
      </c>
      <c r="R35" s="216" t="n">
        <f aca="false">IF(OR(ISTEXT(H35),Q35=0),"",IF(Q35&lt;0.1,1,IF(Q35&lt;1,2,IF(Q35&lt;10,3,IF(Q35&lt;50,4,IF(Q35&gt;=50,5,""))))))</f>
        <v>1</v>
      </c>
      <c r="S35" s="216" t="n">
        <f aca="false">IF(ISERROR(R35*I35),0,R35*I35)</f>
        <v>19</v>
      </c>
      <c r="T35" s="216" t="n">
        <f aca="false">IF(ISERROR(R35*I35*J35),0,R35*I35*J35)</f>
        <v>57</v>
      </c>
      <c r="U35" s="228" t="n">
        <f aca="false">IF(ISERROR(R35*J35),0,R35*J35)</f>
        <v>3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>HYGLUR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219</v>
      </c>
      <c r="AA35" s="220"/>
      <c r="AB35" s="221"/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22" t="s">
        <v>91</v>
      </c>
      <c r="B36" s="223" t="n">
        <v>2</v>
      </c>
      <c r="C36" s="224" t="n">
        <v>0.4</v>
      </c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Rhynchostegium riparioides</v>
      </c>
      <c r="E36" s="225" t="e">
        <f aca="false">IF(D36="",0,VLOOKUP(D36,D$22:D35,1,0))</f>
        <v>#N/A</v>
      </c>
      <c r="F36" s="230" t="n">
        <f aca="false">($B36*$B$7+$C36*$C$7)/100</f>
        <v>1.68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BRm</v>
      </c>
      <c r="H36" s="209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5</v>
      </c>
      <c r="I36" s="210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12</v>
      </c>
      <c r="J36" s="210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1</v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Rhynchostegium riparioides</v>
      </c>
      <c r="L36" s="227"/>
      <c r="M36" s="227"/>
      <c r="N36" s="227"/>
      <c r="O36" s="213"/>
      <c r="P36" s="214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1268</v>
      </c>
      <c r="Q36" s="215" t="n">
        <f aca="false">IF(ISTEXT(H36),"",(B36*$B$7/100)+(C36*$C$7/100))</f>
        <v>1.68</v>
      </c>
      <c r="R36" s="216" t="n">
        <f aca="false">IF(OR(ISTEXT(H36),Q36=0),"",IF(Q36&lt;0.1,1,IF(Q36&lt;1,2,IF(Q36&lt;10,3,IF(Q36&lt;50,4,IF(Q36&gt;=50,5,""))))))</f>
        <v>3</v>
      </c>
      <c r="S36" s="216" t="n">
        <f aca="false">IF(ISERROR(R36*I36),0,R36*I36)</f>
        <v>36</v>
      </c>
      <c r="T36" s="216" t="n">
        <f aca="false">IF(ISERROR(R36*I36*J36),0,R36*I36*J36)</f>
        <v>36</v>
      </c>
      <c r="U36" s="228" t="n">
        <f aca="false">IF(ISERROR(R36*J36),0,R36*J36)</f>
        <v>3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>RHYRIP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252</v>
      </c>
      <c r="AA36" s="220"/>
      <c r="AB36" s="221"/>
      <c r="AC36" s="221"/>
      <c r="BB36" s="10" t="n">
        <f aca="false">IF(A36="","",1)</f>
        <v>1</v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92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Guiers Mort</v>
      </c>
      <c r="B84" s="258" t="str">
        <f aca="false">C3</f>
        <v>Guiers Mort à St Laurent du Pont</v>
      </c>
      <c r="C84" s="259" t="n">
        <f aca="false">A4</f>
        <v>41520</v>
      </c>
      <c r="D84" s="260" t="n">
        <f aca="false">IF(ISERROR(SUM($T$23:$T$82)/SUM($U$23:$U$82)),"",SUM($T$23:$T$82)/SUM($U$23:$U$82))</f>
        <v>12.2444444444444</v>
      </c>
      <c r="E84" s="261" t="n">
        <f aca="false">N13</f>
        <v>14</v>
      </c>
      <c r="F84" s="258" t="n">
        <f aca="false">N14</f>
        <v>14</v>
      </c>
      <c r="G84" s="258" t="n">
        <f aca="false">N15</f>
        <v>6</v>
      </c>
      <c r="H84" s="258" t="n">
        <f aca="false">N16</f>
        <v>7</v>
      </c>
      <c r="I84" s="258" t="n">
        <f aca="false">N17</f>
        <v>1</v>
      </c>
      <c r="J84" s="262" t="n">
        <f aca="false">N8</f>
        <v>11.7142857142857</v>
      </c>
      <c r="K84" s="260" t="n">
        <f aca="false">N9</f>
        <v>3.59421303583118</v>
      </c>
      <c r="L84" s="261" t="n">
        <f aca="false">N10</f>
        <v>4</v>
      </c>
      <c r="M84" s="261" t="n">
        <f aca="false">N11</f>
        <v>19</v>
      </c>
      <c r="N84" s="260" t="n">
        <f aca="false">O8</f>
        <v>1.64285714285714</v>
      </c>
      <c r="O84" s="260" t="n">
        <f aca="false">O9</f>
        <v>0.610285981808395</v>
      </c>
      <c r="P84" s="261" t="n">
        <f aca="false">O10</f>
        <v>1</v>
      </c>
      <c r="Q84" s="261" t="n">
        <f aca="false">O11</f>
        <v>3</v>
      </c>
      <c r="R84" s="261" t="n">
        <f aca="false">F21</f>
        <v>13.79</v>
      </c>
      <c r="S84" s="261" t="n">
        <f aca="false">K11</f>
        <v>0</v>
      </c>
      <c r="T84" s="261" t="n">
        <f aca="false">K12</f>
        <v>9</v>
      </c>
      <c r="U84" s="261" t="n">
        <f aca="false">K13</f>
        <v>5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93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94</v>
      </c>
      <c r="R87" s="10"/>
      <c r="S87" s="217" t="n">
        <f aca="false">VLOOKUP(MAX($S$23:$S$82),($S$23:$U$82),1,0)</f>
        <v>45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95</v>
      </c>
      <c r="R88" s="10"/>
      <c r="S88" s="217" t="n">
        <f aca="false">VLOOKUP((S87),($S$23:$U$82),2,0)</f>
        <v>90</v>
      </c>
      <c r="T88" s="10"/>
      <c r="U88" s="10"/>
      <c r="V88" s="10"/>
    </row>
    <row r="89" customFormat="false" ht="12.75" hidden="true" customHeight="false" outlineLevel="0" collapsed="false">
      <c r="Q89" s="10" t="s">
        <v>96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97</v>
      </c>
      <c r="R90" s="10"/>
      <c r="S90" s="267" t="n">
        <f aca="false">IF(ISERROR(SUM($T$23:$T$82)/SUM($U$23:$U$82)),"",(SUM($T$23:$T$82)-S88)/(SUM($U$23:$U$82)-S89))</f>
        <v>11.8205128205128</v>
      </c>
      <c r="T90" s="10"/>
    </row>
    <row r="91" customFormat="false" ht="12.75" hidden="false" customHeight="false" outlineLevel="0" collapsed="false">
      <c r="Q91" s="216" t="s">
        <v>98</v>
      </c>
      <c r="R91" s="216"/>
      <c r="S91" s="216" t="str">
        <f aca="false">INDEX('[1]liste reference'!$A$8:$A$904,$T$91)</f>
        <v>CINAQU</v>
      </c>
      <c r="T91" s="10" t="n">
        <f aca="false">IF(ISERROR(MATCH($S$93,'[1]liste reference'!$A$8:$A$904,0)),MATCH($S$93,'[1]liste reference'!$B$8:$B$904,0),(MATCH($S$93,'[1]liste reference'!$A$8:$A$904,0)))</f>
        <v>170</v>
      </c>
      <c r="U91" s="256"/>
    </row>
    <row r="92" customFormat="false" ht="12.75" hidden="false" customHeight="false" outlineLevel="0" collapsed="false">
      <c r="Q92" s="10" t="s">
        <v>99</v>
      </c>
      <c r="R92" s="10"/>
      <c r="S92" s="10" t="n">
        <f aca="false">MATCH(S87,$S$23:$S$82,0)</f>
        <v>10</v>
      </c>
      <c r="T92" s="10"/>
    </row>
    <row r="93" customFormat="false" ht="12.75" hidden="false" customHeight="false" outlineLevel="0" collapsed="false">
      <c r="Q93" s="216" t="s">
        <v>100</v>
      </c>
      <c r="R93" s="10"/>
      <c r="S93" s="216" t="str">
        <f aca="false">INDEX($A$23:$A$82,$S$92)</f>
        <v>CINAQU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2013-12-16T17:46:14Z</dcterms:created>
  <dc:creator>Laurent Bourgoin</dc:creator>
  <dc:description/>
  <dc:language>fr-FR</dc:language>
  <cp:lastModifiedBy>Laurent Bourgoin</cp:lastModifiedBy>
  <dcterms:modified xsi:type="dcterms:W3CDTF">2013-12-16T17:46:23Z</dcterms:modified>
  <cp:revision>0</cp:revision>
  <dc:subject/>
  <dc:title/>
</cp:coreProperties>
</file>