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<sst xmlns="http://schemas.openxmlformats.org/spreadsheetml/2006/main" count="107" uniqueCount="102">
  <si>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</si>
  <si>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</si>
  <si>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</si>
  <si>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L.ISEBE P.BELLY</t>
  </si>
  <si>
    <t xml:space="preserve">conforme AFNOR T90-395 oct. 2003</t>
  </si>
  <si>
    <t xml:space="preserve">RHONE</t>
  </si>
  <si>
    <t xml:space="preserve">RHONE A BREIGNIER CORDON</t>
  </si>
  <si>
    <t xml:space="preserve">06079050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</si>
  <si>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</si>
  <si>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</si>
  <si>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</si>
  <si>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</si>
  <si>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</si>
  <si>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</si>
  <si>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</si>
  <si>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</si>
  <si>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</si>
  <si>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</si>
  <si>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chenal lotiquea</t>
  </si>
  <si>
    <t xml:space="preserve">chenal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</si>
  <si>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</si>
  <si>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</si>
  <si>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</si>
  <si>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</si>
  <si>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</si>
  <si>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</si>
  <si>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</si>
  <si>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</si>
  <si>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</si>
  <si>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</si>
  <si>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</si>
  <si>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</si>
  <si>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</si>
  <si>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</si>
  <si>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</si>
  <si>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</si>
  <si>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</si>
  <si>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</si>
  <si>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</si>
  <si>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</si>
  <si>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</si>
  <si>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</si>
  <si>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</si>
  <si>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</si>
  <si>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</si>
  <si>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</si>
  <si>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</si>
  <si>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</si>
  <si>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</si>
  <si>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</si>
  <si>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</si>
  <si>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</si>
  <si>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</si>
  <si>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</si>
  <si>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</si>
  <si>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</si>
  <si>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</si>
  <si>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</si>
  <si>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</si>
  <si>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</si>
  <si>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</si>
  <si>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</si>
  <si>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</si>
  <si>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</si>
  <si>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</si>
  <si>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</si>
  <si>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</si>
  <si>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</si>
  <si>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</si>
  <si>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</si>
  <si>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</si>
  <si>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</si>
  <si>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</si>
  <si>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</si>
  <si>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</si>
  <si>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</si>
  <si>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</si>
  <si>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</si>
  <si>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</si>
  <si>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</si>
  <si>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LYNSPX</t>
  </si>
  <si>
    <t xml:space="preserve">PHOSPX</t>
  </si>
  <si>
    <t xml:space="preserve">ULOSPX</t>
  </si>
  <si>
    <t xml:space="preserve">AMBFLU</t>
  </si>
  <si>
    <t xml:space="preserve">CINDAN</t>
  </si>
  <si>
    <t xml:space="preserve">ELONUT</t>
  </si>
  <si>
    <t xml:space="preserve">LEMMIN</t>
  </si>
  <si>
    <t xml:space="preserve">MYRSPI</t>
  </si>
  <si>
    <t xml:space="preserve">POTCRI</t>
  </si>
  <si>
    <t xml:space="preserve">PHAARU</t>
  </si>
  <si>
    <t xml:space="preserve">PHRAUS</t>
  </si>
  <si>
    <t xml:space="preserve">POLHYD</t>
  </si>
  <si>
    <t xml:space="preserve">POLSPX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</si>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</sst>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RHOBRE_05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41887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9.7741935483871</v>
      </c>
      <c r="M5" s="53"/>
      <c r="N5" s="54" t="s">
        <v>16</v>
      </c>
      <c r="O5" s="55" t="n">
        <v>9.74074074074074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67</v>
      </c>
      <c r="C7" s="67" t="n">
        <v>33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9.66666666666667</v>
      </c>
      <c r="O8" s="84" t="n">
        <f aca="false">IF(ISERROR(AVERAGE(J23:J82)),"      -",AVERAGE(J23:J82))</f>
        <v>1.8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0.21</v>
      </c>
      <c r="C9" s="87" t="n">
        <v>1.89</v>
      </c>
      <c r="D9" s="88"/>
      <c r="E9" s="88"/>
      <c r="F9" s="89" t="n">
        <f aca="false">($B9*$B$7+$C9*$C$7)/100</f>
        <v>0.7644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1.98885785202351</v>
      </c>
      <c r="O9" s="84" t="n">
        <f aca="false">IF(ISERROR(STDEVP(J23:J82)),"      -",STDEVP(J23:J82))</f>
        <v>0.541602560309064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/>
      <c r="C12" s="119" t="n">
        <v>0.67</v>
      </c>
      <c r="D12" s="111"/>
      <c r="E12" s="111"/>
      <c r="F12" s="112" t="n">
        <f aca="false">($B12*$B$7+$C12*$C$7)/100</f>
        <v>0.2211</v>
      </c>
      <c r="G12" s="120"/>
      <c r="H12" s="68"/>
      <c r="I12" s="121" t="s">
        <v>39</v>
      </c>
      <c r="J12" s="121"/>
      <c r="K12" s="115" t="n">
        <f aca="false">COUNTIF($G$23:$G$82,"=ALG")</f>
        <v>5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 t="n">
        <v>0.27</v>
      </c>
      <c r="D13" s="111"/>
      <c r="E13" s="111"/>
      <c r="F13" s="112" t="n">
        <f aca="false">($B13*$B$7+$C13*$C$7)/100</f>
        <v>0.0891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2</v>
      </c>
      <c r="L13" s="116"/>
      <c r="M13" s="127" t="s">
        <v>42</v>
      </c>
      <c r="N13" s="128" t="n">
        <f aca="false">COUNTIF(F23:F82,"&gt;0")</f>
        <v>16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15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0.21</v>
      </c>
      <c r="C15" s="136" t="n">
        <v>0.95</v>
      </c>
      <c r="D15" s="111"/>
      <c r="E15" s="111"/>
      <c r="F15" s="112" t="n">
        <f aca="false">($B15*$B$7+$C15*$C$7)/100</f>
        <v>0.4542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9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 t="n">
        <v>0.94</v>
      </c>
      <c r="D16" s="140"/>
      <c r="E16" s="140"/>
      <c r="F16" s="141"/>
      <c r="G16" s="141" t="n">
        <f aca="false">($B16*$B$7+$C16*$C$7)/100</f>
        <v>0.3102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10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0.21</v>
      </c>
      <c r="C17" s="119" t="n">
        <v>0.81</v>
      </c>
      <c r="D17" s="111"/>
      <c r="E17" s="111"/>
      <c r="F17" s="143"/>
      <c r="G17" s="112" t="n">
        <f aca="false">($B17*$B$7+$C17*$C$7)/100</f>
        <v>0.408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0.14</v>
      </c>
      <c r="D18" s="111"/>
      <c r="E18" s="147" t="s">
        <v>54</v>
      </c>
      <c r="F18" s="143"/>
      <c r="G18" s="112" t="n">
        <f aca="false">($B18*$B$7+$C18*$C$7)/100</f>
        <v>0.0462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0.7644</v>
      </c>
      <c r="G19" s="156" t="n">
        <f aca="false">SUM(G16:G18)</f>
        <v>0.7644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0.205165165165165</v>
      </c>
      <c r="C20" s="166" t="n">
        <f aca="false">SUM(C23:C82)</f>
        <v>1.88806387225549</v>
      </c>
      <c r="D20" s="167"/>
      <c r="E20" s="168" t="s">
        <v>54</v>
      </c>
      <c r="F20" s="169" t="n">
        <f aca="false">($B20*$B$7+$C20*$C$7)/100</f>
        <v>0.760521738504972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0.137460660660661</v>
      </c>
      <c r="C21" s="179" t="n">
        <f aca="false">C20*C7/100</f>
        <v>0.623061077844311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0.760521738504972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</v>
      </c>
      <c r="C23" s="205" t="n">
        <v>0.268848303393214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0.0887199401197605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0.0887199401197605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6</v>
      </c>
      <c r="T23" s="216" t="n">
        <f aca="false">IF(ISERROR(R23*I23*J23),0,R23*I23*J23)</f>
        <v>6</v>
      </c>
      <c r="U23" s="216" t="n">
        <f aca="false">IF(ISERROR(R23*J23),0,R23*J23)</f>
        <v>1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</v>
      </c>
      <c r="C24" s="224" t="n">
        <v>0.13373253493014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Diatoma sp.</v>
      </c>
      <c r="E24" s="225" t="e">
        <f aca="false">IF(D24="",0,VLOOKUP(D24,D$22:D23,1,0))</f>
        <v>#N/A</v>
      </c>
      <c r="F24" s="226" t="n">
        <f aca="false">($B24*$B$7+$C24*$C$7)/100</f>
        <v>0.0441317365269461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12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Diatoma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6627</v>
      </c>
      <c r="Q24" s="215" t="n">
        <f aca="false">IF(ISTEXT(H24),"",(B24*$B$7/100)+(C24*$C$7/100))</f>
        <v>0.0441317365269461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12</v>
      </c>
      <c r="T24" s="216" t="n">
        <f aca="false">IF(ISERROR(R24*I24*J24),0,R24*I24*J24)</f>
        <v>24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DIASPX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26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</v>
      </c>
      <c r="C25" s="224" t="n">
        <v>0.13373253493014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Lyngbya sp.</v>
      </c>
      <c r="E25" s="225" t="e">
        <f aca="false">IF(D25="",0,VLOOKUP(D25,D$22:D24,1,0))</f>
        <v>#N/A</v>
      </c>
      <c r="F25" s="226" t="n">
        <f aca="false">($B25*$B$7+$C25*$C$7)/100</f>
        <v>0.0441317365269461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10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Lyngbya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1107</v>
      </c>
      <c r="Q25" s="215" t="n">
        <f aca="false">IF(ISTEXT(H25),"",(B25*$B$7/100)+(C25*$C$7/100))</f>
        <v>0.0441317365269461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10</v>
      </c>
      <c r="T25" s="216" t="n">
        <f aca="false">IF(ISERROR(R25*I25*J25),0,R25*I25*J25)</f>
        <v>20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LYNSPX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35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</v>
      </c>
      <c r="C26" s="224" t="n">
        <v>0.13373253493014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Phormidium sp.</v>
      </c>
      <c r="E26" s="225" t="e">
        <f aca="false">IF(D26="",0,VLOOKUP(D26,D$22:D25,1,0))</f>
        <v>#N/A</v>
      </c>
      <c r="F26" s="226" t="n">
        <f aca="false">($B26*$B$7+$C26*$C$7)/100</f>
        <v>0.0441317365269461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Phormidium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6414</v>
      </c>
      <c r="Q26" s="215" t="n">
        <f aca="false">IF(ISTEXT(H26),"",(B26*$B$7/100)+(C26*$C$7/100))</f>
        <v>0.0441317365269461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26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PHOSPX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0</v>
      </c>
      <c r="C27" s="224" t="n">
        <v>0.0025688622754491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Ulothrix sp.</v>
      </c>
      <c r="E27" s="225" t="e">
        <f aca="false">IF(D27="",0,VLOOKUP(D27,D$22:D26,1,0))</f>
        <v>#N/A</v>
      </c>
      <c r="F27" s="226" t="n">
        <f aca="false">($B27*$B$7+$C27*$C$7)/100</f>
        <v>0.000847724550898204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Ulothrix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1142</v>
      </c>
      <c r="Q27" s="215" t="n">
        <f aca="false">IF(ISTEXT(H27),"",(B27*$B$7/100)+(C27*$C$7/100))</f>
        <v>0.000847724550898204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28" t="n">
        <f aca="false">IF(ISERROR(R27*J27),0,R27*J27)</f>
        <v>1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ULOSPX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81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0</v>
      </c>
      <c r="C28" s="224" t="n">
        <v>0.267465069860279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Amblystegium fluviatile</v>
      </c>
      <c r="E28" s="225" t="e">
        <f aca="false">IF(D28="",0,VLOOKUP(D28,D$22:D27,1,0))</f>
        <v>#N/A</v>
      </c>
      <c r="F28" s="226" t="n">
        <f aca="false">($B28*$B$7+$C28*$C$7)/100</f>
        <v>0.0882634730538922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11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Amblystegium fluviatile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1223</v>
      </c>
      <c r="Q28" s="215" t="n">
        <f aca="false">IF(ISTEXT(H28),"",(B28*$B$7/100)+(C28*$C$7/100))</f>
        <v>0.0882634730538922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11</v>
      </c>
      <c r="T28" s="216" t="n">
        <f aca="false">IF(ISERROR(R28*I28*J28),0,R28*I28*J28)</f>
        <v>22</v>
      </c>
      <c r="U28" s="228" t="n">
        <f aca="false">IF(ISERROR(R28*J28),0,R28*J28)</f>
        <v>2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AMBFLU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147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84</v>
      </c>
      <c r="B29" s="223" t="n">
        <v>0</v>
      </c>
      <c r="C29" s="224" t="n">
        <v>0.00197604790419162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Cinclidotus danubicus</v>
      </c>
      <c r="E29" s="225" t="e">
        <f aca="false">IF(D29="",0,VLOOKUP(D29,D$22:D28,1,0))</f>
        <v>#N/A</v>
      </c>
      <c r="F29" s="226" t="n">
        <f aca="false">($B29*$B$7+$C29*$C$7)/100</f>
        <v>0.000652095808383234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13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3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Cinclidotus danubicus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1319</v>
      </c>
      <c r="Q29" s="215" t="n">
        <f aca="false">IF(ISTEXT(H29),"",(B29*$B$7/100)+(C29*$C$7/100))</f>
        <v>0.000652095808383234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13</v>
      </c>
      <c r="T29" s="216" t="n">
        <f aca="false">IF(ISERROR(R29*I29*J29),0,R29*I29*J29)</f>
        <v>39</v>
      </c>
      <c r="U29" s="228" t="n">
        <f aca="false">IF(ISERROR(R29*J29),0,R29*J29)</f>
        <v>3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CINDAN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171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85</v>
      </c>
      <c r="B30" s="223" t="n">
        <v>0.0670670670670671</v>
      </c>
      <c r="C30" s="224" t="n">
        <v>0.135708582834331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Elodea nuttalii</v>
      </c>
      <c r="E30" s="225" t="e">
        <f aca="false">IF(D30="",0,VLOOKUP(D30,D$22:D29,1,0))</f>
        <v>#N/A</v>
      </c>
      <c r="F30" s="226" t="n">
        <f aca="false">($B30*$B$7+$C30*$C$7)/100</f>
        <v>0.0897187672702643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PHy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7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8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Elodea nuttalii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1588</v>
      </c>
      <c r="Q30" s="215" t="n">
        <f aca="false">IF(ISTEXT(H30),"",(B30*$B$7/100)+(C30*$C$7/100))</f>
        <v>0.0897187672702643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8</v>
      </c>
      <c r="T30" s="216" t="n">
        <f aca="false">IF(ISERROR(R30*I30*J30),0,R30*I30*J30)</f>
        <v>16</v>
      </c>
      <c r="U30" s="228" t="n">
        <f aca="false">IF(ISERROR(R30*J30),0,R30*J30)</f>
        <v>2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ELONUT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343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86</v>
      </c>
      <c r="B31" s="223" t="n">
        <v>0</v>
      </c>
      <c r="C31" s="224" t="n">
        <v>0.13373253493014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Lemna minor</v>
      </c>
      <c r="E31" s="225" t="e">
        <f aca="false">IF(D31="",0,VLOOKUP(D31,D$22:D30,1,0))</f>
        <v>#N/A</v>
      </c>
      <c r="F31" s="226" t="n">
        <f aca="false">($B31*$B$7+$C31*$C$7)/100</f>
        <v>0.0441317365269461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PHy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7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10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1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Lemna minor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1626</v>
      </c>
      <c r="Q31" s="215" t="n">
        <f aca="false">IF(ISTEXT(H31),"",(B31*$B$7/100)+(C31*$C$7/100))</f>
        <v>0.0441317365269461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10</v>
      </c>
      <c r="T31" s="216" t="n">
        <f aca="false">IF(ISERROR(R31*I31*J31),0,R31*I31*J31)</f>
        <v>10</v>
      </c>
      <c r="U31" s="228" t="n">
        <f aca="false">IF(ISERROR(R31*J31),0,R31*J31)</f>
        <v>1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LEMMIN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357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87</v>
      </c>
      <c r="B32" s="223" t="n">
        <v>0.0670670670670671</v>
      </c>
      <c r="C32" s="224" t="n">
        <v>0.269441117764471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Myriophyllum spicatum</v>
      </c>
      <c r="E32" s="225" t="e">
        <f aca="false">IF(D32="",0,VLOOKUP(D32,D$22:D31,1,0))</f>
        <v>#N/A</v>
      </c>
      <c r="F32" s="226" t="n">
        <f aca="false">($B32*$B$7+$C32*$C$7)/100</f>
        <v>0.13385050379721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PHy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7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8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Myriophyllum spicatum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1778</v>
      </c>
      <c r="Q32" s="215" t="n">
        <f aca="false">IF(ISTEXT(H32),"",(B32*$B$7/100)+(C32*$C$7/100))</f>
        <v>0.13385050379721</v>
      </c>
      <c r="R32" s="216" t="n">
        <f aca="false">IF(OR(ISTEXT(H32),Q32=0),"",IF(Q32&lt;0.1,1,IF(Q32&lt;1,2,IF(Q32&lt;10,3,IF(Q32&lt;50,4,IF(Q32&gt;=50,5,""))))))</f>
        <v>2</v>
      </c>
      <c r="S32" s="216" t="n">
        <f aca="false">IF(ISERROR(R32*I32),0,R32*I32)</f>
        <v>16</v>
      </c>
      <c r="T32" s="216" t="n">
        <f aca="false">IF(ISERROR(R32*I32*J32),0,R32*I32*J32)</f>
        <v>32</v>
      </c>
      <c r="U32" s="228" t="n">
        <f aca="false">IF(ISERROR(R32*J32),0,R32*J32)</f>
        <v>4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MYRSPI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373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88</v>
      </c>
      <c r="B33" s="223" t="n">
        <v>0.00396396396396396</v>
      </c>
      <c r="C33" s="224" t="n">
        <v>0</v>
      </c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Potamogeton crispus</v>
      </c>
      <c r="E33" s="225" t="e">
        <f aca="false">IF(D33="",0,VLOOKUP(D33,D$22:D32,1,0))</f>
        <v>#N/A</v>
      </c>
      <c r="F33" s="226" t="n">
        <f aca="false">($B33*$B$7+$C33*$C$7)/100</f>
        <v>0.00265585585585586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PHy</v>
      </c>
      <c r="H33" s="209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7</v>
      </c>
      <c r="I33" s="210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7</v>
      </c>
      <c r="J33" s="210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2</v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Potamogeton crispus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1645</v>
      </c>
      <c r="Q33" s="215" t="n">
        <f aca="false">IF(ISTEXT(H33),"",(B33*$B$7/100)+(C33*$C$7/100))</f>
        <v>0.00265585585585586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7</v>
      </c>
      <c r="T33" s="216" t="n">
        <f aca="false">IF(ISERROR(R33*I33*J33),0,R33*I33*J33)</f>
        <v>14</v>
      </c>
      <c r="U33" s="228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>POTCRI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409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16</v>
      </c>
      <c r="B34" s="223" t="n">
        <v>0.0670670670670671</v>
      </c>
      <c r="C34" s="224" t="n">
        <v>0.267465069860279</v>
      </c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Ranunculus fluitans</v>
      </c>
      <c r="E34" s="225" t="e">
        <f aca="false">IF(D34="",0,VLOOKUP(D34,D$22:D33,1,0))</f>
        <v>#N/A</v>
      </c>
      <c r="F34" s="230" t="n">
        <f aca="false">($B34*$B$7+$C34*$C$7)/100</f>
        <v>0.133198407988827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PHy</v>
      </c>
      <c r="H34" s="209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7</v>
      </c>
      <c r="I34" s="210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10</v>
      </c>
      <c r="J34" s="210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2</v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Ranunculus fluitans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1903</v>
      </c>
      <c r="Q34" s="215" t="n">
        <f aca="false">IF(ISTEXT(H34),"",(B34*$B$7/100)+(C34*$C$7/100))</f>
        <v>0.133198407988827</v>
      </c>
      <c r="R34" s="216" t="n">
        <f aca="false">IF(OR(ISTEXT(H34),Q34=0),"",IF(Q34&lt;0.1,1,IF(Q34&lt;1,2,IF(Q34&lt;10,3,IF(Q34&lt;50,4,IF(Q34&gt;=50,5,""))))))</f>
        <v>2</v>
      </c>
      <c r="S34" s="216" t="n">
        <f aca="false">IF(ISERROR(R34*I34),0,R34*I34)</f>
        <v>20</v>
      </c>
      <c r="T34" s="216" t="n">
        <f aca="false">IF(ISERROR(R34*I34*J34),0,R34*I34*J34)</f>
        <v>40</v>
      </c>
      <c r="U34" s="228" t="n">
        <f aca="false">IF(ISERROR(R34*J34),0,R34*J34)</f>
        <v>4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>RANFLU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456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89</v>
      </c>
      <c r="B35" s="223" t="n">
        <v>0</v>
      </c>
      <c r="C35" s="224" t="n">
        <v>0.00197604790419162</v>
      </c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Phalaris arundinacea</v>
      </c>
      <c r="E35" s="225" t="e">
        <f aca="false">IF(D35="",0,VLOOKUP(D35,D$22:D34,1,0))</f>
        <v>#N/A</v>
      </c>
      <c r="F35" s="230" t="n">
        <f aca="false">($B35*$B$7+$C35*$C$7)/100</f>
        <v>0.000652095808383234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PHe</v>
      </c>
      <c r="H35" s="209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8</v>
      </c>
      <c r="I35" s="210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10</v>
      </c>
      <c r="J35" s="210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1</v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Phalaris arundinacea</v>
      </c>
      <c r="L35" s="227"/>
      <c r="M35" s="227"/>
      <c r="N35" s="227"/>
      <c r="O35" s="213"/>
      <c r="P35" s="214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1577</v>
      </c>
      <c r="Q35" s="215" t="n">
        <f aca="false">IF(ISTEXT(H35),"",(B35*$B$7/100)+(C35*$C$7/100))</f>
        <v>0.000652095808383234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10</v>
      </c>
      <c r="T35" s="216" t="n">
        <f aca="false">IF(ISERROR(R35*I35*J35),0,R35*I35*J35)</f>
        <v>10</v>
      </c>
      <c r="U35" s="228" t="n">
        <f aca="false">IF(ISERROR(R35*J35),0,R35*J35)</f>
        <v>1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>PHAARU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634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 t="s">
        <v>90</v>
      </c>
      <c r="B36" s="223" t="n">
        <v>0</v>
      </c>
      <c r="C36" s="224" t="n">
        <v>0.00197604790419162</v>
      </c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Phragmites australis</v>
      </c>
      <c r="E36" s="225" t="e">
        <f aca="false">IF(D36="",0,VLOOKUP(D36,D$22:D35,1,0))</f>
        <v>#N/A</v>
      </c>
      <c r="F36" s="230" t="n">
        <f aca="false">($B36*$B$7+$C36*$C$7)/100</f>
        <v>0.000652095808383234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PHe</v>
      </c>
      <c r="H36" s="209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8</v>
      </c>
      <c r="I36" s="210" t="n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>9</v>
      </c>
      <c r="J36" s="210" t="n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>2</v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Phragmites australis</v>
      </c>
      <c r="L36" s="227"/>
      <c r="M36" s="227"/>
      <c r="N36" s="227"/>
      <c r="O36" s="213"/>
      <c r="P36" s="214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1579</v>
      </c>
      <c r="Q36" s="215" t="n">
        <f aca="false">IF(ISTEXT(H36),"",(B36*$B$7/100)+(C36*$C$7/100))</f>
        <v>0.000652095808383234</v>
      </c>
      <c r="R36" s="216" t="n">
        <f aca="false">IF(OR(ISTEXT(H36),Q36=0),"",IF(Q36&lt;0.1,1,IF(Q36&lt;1,2,IF(Q36&lt;10,3,IF(Q36&lt;50,4,IF(Q36&gt;=50,5,""))))))</f>
        <v>1</v>
      </c>
      <c r="S36" s="216" t="n">
        <f aca="false">IF(ISERROR(R36*I36),0,R36*I36)</f>
        <v>9</v>
      </c>
      <c r="T36" s="216" t="n">
        <f aca="false">IF(ISERROR(R36*I36*J36),0,R36*I36*J36)</f>
        <v>18</v>
      </c>
      <c r="U36" s="228" t="n">
        <f aca="false">IF(ISERROR(R36*J36),0,R36*J36)</f>
        <v>2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>PHRAUS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635</v>
      </c>
      <c r="AA36" s="220"/>
      <c r="AB36" s="221"/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22" t="s">
        <v>91</v>
      </c>
      <c r="B37" s="223" t="n">
        <v>0</v>
      </c>
      <c r="C37" s="224" t="n">
        <v>0.13373253493014</v>
      </c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>Polygonum hydropiper</v>
      </c>
      <c r="E37" s="225" t="e">
        <f aca="false">IF(D37="",0,VLOOKUP(D37,D$22:D36,1,0))</f>
        <v>#N/A</v>
      </c>
      <c r="F37" s="230" t="n">
        <f aca="false">($B37*$B$7+$C37*$C$7)/100</f>
        <v>0.0441317365269461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>PHe</v>
      </c>
      <c r="H37" s="209" t="n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8</v>
      </c>
      <c r="I37" s="210" t="n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>8</v>
      </c>
      <c r="J37" s="210" t="n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>2</v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>Polygonum hydropiper</v>
      </c>
      <c r="L37" s="227"/>
      <c r="M37" s="227"/>
      <c r="N37" s="227"/>
      <c r="O37" s="213"/>
      <c r="P37" s="214" t="n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>1865</v>
      </c>
      <c r="Q37" s="215" t="n">
        <f aca="false">IF(ISTEXT(H37),"",(B37*$B$7/100)+(C37*$C$7/100))</f>
        <v>0.0441317365269461</v>
      </c>
      <c r="R37" s="216" t="n">
        <f aca="false">IF(OR(ISTEXT(H37),Q37=0),"",IF(Q37&lt;0.1,1,IF(Q37&lt;1,2,IF(Q37&lt;10,3,IF(Q37&lt;50,4,IF(Q37&gt;=50,5,""))))))</f>
        <v>1</v>
      </c>
      <c r="S37" s="216" t="n">
        <f aca="false">IF(ISERROR(R37*I37),0,R37*I37)</f>
        <v>8</v>
      </c>
      <c r="T37" s="216" t="n">
        <f aca="false">IF(ISERROR(R37*I37*J37),0,R37*I37*J37)</f>
        <v>16</v>
      </c>
      <c r="U37" s="228" t="n">
        <f aca="false">IF(ISERROR(R37*J37),0,R37*J37)</f>
        <v>2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>POLHYD</v>
      </c>
      <c r="Z37" s="10" t="n">
        <f aca="false">IF(ISERROR(MATCH(A37,'[2]liste reference'!$A$8:$A$904,0)),IF(ISERROR(MATCH(A37,'[2]liste reference'!$B$8:$B$904,0)),"",(MATCH(A37,'[2]liste reference'!$B$8:$B$904,0))),(MATCH(A37,'[2]liste reference'!$A$8:$A$904,0)))</f>
        <v>637</v>
      </c>
      <c r="AA37" s="220"/>
      <c r="AB37" s="221"/>
      <c r="AC37" s="221"/>
      <c r="BB37" s="10" t="n">
        <f aca="false">IF(A37="","",1)</f>
        <v>1</v>
      </c>
    </row>
    <row r="38" customFormat="false" ht="12.75" hidden="false" customHeight="false" outlineLevel="0" collapsed="false">
      <c r="A38" s="222" t="s">
        <v>92</v>
      </c>
      <c r="B38" s="223" t="n">
        <v>0</v>
      </c>
      <c r="C38" s="224" t="n">
        <v>0.00197604790419162</v>
      </c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>Polygonum sp.</v>
      </c>
      <c r="E38" s="225" t="e">
        <f aca="false">IF(D38="",0,VLOOKUP(D38,D$22:D37,1,0))</f>
        <v>#N/A</v>
      </c>
      <c r="F38" s="230" t="n">
        <f aca="false">($B38*$B$7+$C38*$C$7)/100</f>
        <v>0.000652095808383234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>PHg</v>
      </c>
      <c r="H38" s="209" t="n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9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>Polygonum sp.</v>
      </c>
      <c r="L38" s="227"/>
      <c r="M38" s="227"/>
      <c r="N38" s="227"/>
      <c r="O38" s="213"/>
      <c r="P38" s="214" t="n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>1863</v>
      </c>
      <c r="Q38" s="215" t="n">
        <f aca="false">IF(ISTEXT(H38),"",(B38*$B$7/100)+(C38*$C$7/100))</f>
        <v>0.000652095808383234</v>
      </c>
      <c r="R38" s="216" t="n">
        <f aca="false">IF(OR(ISTEXT(H38),Q38=0),"",IF(Q38&lt;0.1,1,IF(Q38&lt;1,2,IF(Q38&lt;10,3,IF(Q38&lt;50,4,IF(Q38&gt;=50,5,""))))))</f>
        <v>1</v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>POLSPX</v>
      </c>
      <c r="Z38" s="10" t="n">
        <f aca="false">IF(ISERROR(MATCH(A38,'[2]liste reference'!$A$8:$A$904,0)),IF(ISERROR(MATCH(A38,'[2]liste reference'!$B$8:$B$904,0)),"",(MATCH(A38,'[2]liste reference'!$B$8:$B$904,0))),(MATCH(A38,'[2]liste reference'!$A$8:$A$904,0)))</f>
        <v>799</v>
      </c>
      <c r="AA38" s="220"/>
      <c r="AB38" s="221"/>
      <c r="AC38" s="221"/>
      <c r="BB38" s="10" t="n">
        <f aca="false">IF(A38="","",1)</f>
        <v>1</v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93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RHONE</v>
      </c>
      <c r="B84" s="258" t="str">
        <f aca="false">C3</f>
        <v>RHONE A BREIGNIER CORDON</v>
      </c>
      <c r="C84" s="259" t="n">
        <f aca="false">A4</f>
        <v>41887</v>
      </c>
      <c r="D84" s="260" t="n">
        <f aca="false">IF(ISERROR(SUM($T$23:$T$82)/SUM($U$23:$U$82)),"",SUM($T$23:$T$82)/SUM($U$23:$U$82))</f>
        <v>9.7741935483871</v>
      </c>
      <c r="E84" s="261" t="n">
        <f aca="false">N13</f>
        <v>16</v>
      </c>
      <c r="F84" s="258" t="n">
        <f aca="false">N14</f>
        <v>15</v>
      </c>
      <c r="G84" s="258" t="n">
        <f aca="false">N15</f>
        <v>4</v>
      </c>
      <c r="H84" s="258" t="n">
        <f aca="false">N16</f>
        <v>10</v>
      </c>
      <c r="I84" s="258" t="n">
        <f aca="false">N17</f>
        <v>1</v>
      </c>
      <c r="J84" s="262" t="n">
        <f aca="false">N8</f>
        <v>9.66666666666667</v>
      </c>
      <c r="K84" s="260" t="n">
        <f aca="false">N9</f>
        <v>1.98885785202351</v>
      </c>
      <c r="L84" s="261" t="n">
        <f aca="false">N10</f>
        <v>6</v>
      </c>
      <c r="M84" s="261" t="n">
        <f aca="false">N11</f>
        <v>13</v>
      </c>
      <c r="N84" s="260" t="n">
        <f aca="false">O8</f>
        <v>1.8</v>
      </c>
      <c r="O84" s="260" t="n">
        <f aca="false">O9</f>
        <v>0.541602560309064</v>
      </c>
      <c r="P84" s="261" t="n">
        <f aca="false">O10</f>
        <v>1</v>
      </c>
      <c r="Q84" s="261" t="n">
        <f aca="false">O11</f>
        <v>3</v>
      </c>
      <c r="R84" s="261" t="n">
        <f aca="false">F21</f>
        <v>0.760521738504972</v>
      </c>
      <c r="S84" s="261" t="n">
        <f aca="false">K11</f>
        <v>0</v>
      </c>
      <c r="T84" s="261" t="n">
        <f aca="false">K12</f>
        <v>5</v>
      </c>
      <c r="U84" s="261" t="n">
        <f aca="false">K13</f>
        <v>2</v>
      </c>
      <c r="V84" s="263" t="n">
        <f aca="false">K14</f>
        <v>0</v>
      </c>
      <c r="W84" s="264" t="n">
        <f aca="false">K15</f>
        <v>9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94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95</v>
      </c>
      <c r="R87" s="10"/>
      <c r="S87" s="217" t="n">
        <f aca="false">VLOOKUP(MAX($S$23:$S$82),($S$23:$U$82),1,0)</f>
        <v>20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96</v>
      </c>
      <c r="R88" s="10"/>
      <c r="S88" s="217" t="n">
        <f aca="false">VLOOKUP((S87),($S$23:$U$82),2,0)</f>
        <v>40</v>
      </c>
      <c r="T88" s="10"/>
      <c r="U88" s="10"/>
      <c r="V88" s="10"/>
    </row>
    <row r="89" customFormat="false" ht="12.75" hidden="true" customHeight="false" outlineLevel="0" collapsed="false">
      <c r="Q89" s="10" t="s">
        <v>97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98</v>
      </c>
      <c r="R90" s="10"/>
      <c r="S90" s="267" t="n">
        <f aca="false">IF(ISERROR(SUM($T$23:$T$82)/SUM($U$23:$U$82)),"",(SUM($T$23:$T$82)-S88)/(SUM($U$23:$U$82)-S89))</f>
        <v>9.74074074074074</v>
      </c>
      <c r="T90" s="10"/>
    </row>
    <row r="91" customFormat="false" ht="12.75" hidden="false" customHeight="false" outlineLevel="0" collapsed="false">
      <c r="Q91" s="216" t="s">
        <v>99</v>
      </c>
      <c r="R91" s="216"/>
      <c r="S91" s="216" t="str">
        <f aca="false">INDEX('[2]liste reference'!$A$8:$A$904,$T$91)</f>
        <v>RANFLU</v>
      </c>
      <c r="T91" s="10" t="n">
        <f aca="false">IF(ISERROR(MATCH($S$93,'[2]liste reference'!$A$8:$A$904,0)),MATCH($S$93,'[2]liste reference'!$B$8:$B$904,0),(MATCH($S$93,'[2]liste reference'!$A$8:$A$904,0)))</f>
        <v>456</v>
      </c>
      <c r="U91" s="256"/>
    </row>
    <row r="92" customFormat="false" ht="12.75" hidden="false" customHeight="false" outlineLevel="0" collapsed="false">
      <c r="Q92" s="10" t="s">
        <v>100</v>
      </c>
      <c r="R92" s="10"/>
      <c r="S92" s="10" t="n">
        <f aca="false">MATCH(S87,$S$23:$S$82,0)</f>
        <v>12</v>
      </c>
      <c r="T92" s="10"/>
    </row>
    <row r="93" customFormat="false" ht="12.75" hidden="false" customHeight="false" outlineLevel="0" collapsed="false">
      <c r="Q93" s="216" t="s">
        <v>101</v>
      </c>
      <c r="R93" s="10"/>
      <c r="S93" s="216" t="str">
        <f aca="false">INDEX($A$23:$A$82,$S$92)</f>
        <v>RANFLU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2015-04-17T16:52:14Z</dcterms:created>
  <dc:creator>Laurent Bourgoin</dc:creator>
  <dc:description/>
  <dc:language>fr-FR</dc:language>
  <cp:lastModifiedBy>Laurent Bourgoin</cp:lastModifiedBy>
  <dcterms:modified xsi:type="dcterms:W3CDTF">2015-04-17T16:52:22Z</dcterms:modified>
  <cp:revision>0</cp:revision>
  <dc:subject/>
  <dc:title/>
</cp:coreProperties>
</file>