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<sst xmlns="http://schemas.openxmlformats.org/spreadsheetml/2006/main" count="219" uniqueCount="96">
  <si>
    <t>Relevés floristiques aquatiques - IBMR</t>
  </si>
  <si>
    <t xml:space="preserve">Formulaire modèle GIS Macrophytes v 3.3 - novembre 2013  </t>
  </si>
  <si>
    <t>SAGE ENVIRONNEMENT</t>
  </si>
  <si>
    <t>L.ISEBE P.BELLY</t>
  </si>
  <si>
    <t>conforme AFNOR T90-395 oct. 2003</t>
  </si>
  <si>
    <t>RHONE</t>
  </si>
  <si>
    <t>RHONE A SAINT SORLIN EN BUGEY</t>
  </si>
  <si>
    <t>06080000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</si>
  <si>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</si>
  <si>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</si>
  <si>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</si>
  <si>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</si>
  <si>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</si>
  <si>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</si>
  <si>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</si>
  <si>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</si>
  <si>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</si>
  <si>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</si>
  <si>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chenal lotique</t>
  </si>
  <si>
    <t xml:space="preserve">plat lentique 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</si>
  <si>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</si>
  <si>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</si>
  <si>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</si>
  <si>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</si>
  <si>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</si>
  <si>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</si>
  <si>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</si>
  <si>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</si>
  <si>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</si>
  <si>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</si>
  <si>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</si>
  <si>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</si>
  <si>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</si>
  <si>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</si>
  <si>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</si>
  <si>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</si>
  <si>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</si>
  <si>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</si>
  <si>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</si>
  <si>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</si>
  <si>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</si>
  <si>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</si>
  <si>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</si>
  <si>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</si>
  <si>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</si>
  <si>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</si>
  <si>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</si>
  <si>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</si>
  <si>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</si>
  <si>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</si>
  <si>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</si>
  <si>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</si>
  <si>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</si>
  <si>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</si>
  <si>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</si>
  <si>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</si>
  <si>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</si>
  <si>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</si>
  <si>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</si>
  <si>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</si>
  <si>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</si>
  <si>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</si>
  <si>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</si>
  <si>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</si>
  <si>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</si>
  <si>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</si>
  <si>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</si>
  <si>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</si>
  <si>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</si>
  <si>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</si>
  <si>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</si>
  <si>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</si>
  <si>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</si>
  <si>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</si>
  <si>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</si>
  <si>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</si>
  <si>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</si>
  <si>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</si>
  <si>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</si>
  <si>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DIASPX</t>
  </si>
  <si>
    <t>MELSPX</t>
  </si>
  <si>
    <t>SPISPX</t>
  </si>
  <si>
    <t>CINDAN</t>
  </si>
  <si>
    <t>FONANT</t>
  </si>
  <si>
    <t>RANFLU</t>
  </si>
  <si>
    <t>GLYFLU</t>
  </si>
  <si>
    <t>PHAARU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</si>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</sst>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3" fillId="35" borderId="26" xfId="0" applyFont="1" applyFill="1" applyBorder="1" applyAlignment="1" applyProtection="1">
      <alignment horizontal="center" vertical="top"/>
      <protection hidden="1"/>
    </xf>
    <xf numFmtId="0" fontId="34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5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7" fillId="39" borderId="22" xfId="0" applyFont="1" applyFill="1" applyBorder="1" applyAlignment="1" applyProtection="1">
      <alignment horizontal="left" vertical="top"/>
      <protection hidden="1"/>
    </xf>
    <xf numFmtId="0" fontId="37" fillId="39" borderId="42" xfId="0" applyFont="1" applyFill="1" applyBorder="1" applyAlignment="1" applyProtection="1">
      <alignment horizontal="left" vertical="top"/>
      <protection hidden="1"/>
    </xf>
    <xf numFmtId="0" fontId="37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8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9" fillId="38" borderId="11" xfId="0" applyNumberFormat="1" applyFont="1" applyFill="1" applyBorder="1" applyAlignment="1" applyProtection="1">
      <alignment horizontal="right"/>
      <protection hidden="1"/>
    </xf>
    <xf numFmtId="165" fontId="39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40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8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6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7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38" borderId="10" xfId="0" applyFont="1" applyFill="1" applyBorder="1" applyAlignment="1" applyProtection="1">
      <alignment/>
      <protection hidden="1"/>
    </xf>
    <xf numFmtId="0" fontId="41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0" fontId="43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3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1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4" fillId="40" borderId="0" xfId="0" applyFont="1" applyFill="1" applyBorder="1" applyAlignment="1" applyProtection="1">
      <alignment/>
      <protection hidden="1"/>
    </xf>
    <xf numFmtId="0" fontId="44" fillId="40" borderId="22" xfId="0" applyFont="1" applyFill="1" applyBorder="1" applyAlignment="1" applyProtection="1">
      <alignment/>
      <protection hidden="1"/>
    </xf>
    <xf numFmtId="0" fontId="44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3" fillId="40" borderId="27" xfId="0" applyFont="1" applyFill="1" applyBorder="1" applyAlignment="1" applyProtection="1">
      <alignment horizontal="center"/>
      <protection hidden="1"/>
    </xf>
    <xf numFmtId="165" fontId="43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6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5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3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3" fillId="34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3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5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5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5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3" fillId="38" borderId="81" xfId="0" applyFont="1" applyFill="1" applyBorder="1" applyAlignment="1" applyProtection="1">
      <alignment horizontal="right"/>
      <protection hidden="1"/>
    </xf>
    <xf numFmtId="0" fontId="43" fillId="38" borderId="81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RHOSA_04-09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A4" sqref="A4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41886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11.941176470588236</v>
      </c>
      <c r="M5" s="52"/>
      <c r="N5" s="53" t="s">
        <v>16</v>
      </c>
      <c r="O5" s="54">
        <v>11.615384615384615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99</v>
      </c>
      <c r="C7" s="66">
        <v>1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11.333333333333334</v>
      </c>
      <c r="O8" s="84">
        <f>IF(ISERROR(AVERAGE(J23:J82)),"      -",AVERAGE(J23:J82))</f>
        <v>1.6666666666666667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0.3208</v>
      </c>
      <c r="C9" s="87">
        <v>0.01</v>
      </c>
      <c r="D9" s="88"/>
      <c r="E9" s="88"/>
      <c r="F9" s="89">
        <f>($B9*$B$7+$C9*$C$7)/100</f>
        <v>0.317692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1.5634719199411433</v>
      </c>
      <c r="O9" s="84">
        <f>IF(ISERROR(STDEVP(J23:J82)),"      -",STDEVP(J23:J82))</f>
        <v>0.6666666666666666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10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14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0.27</v>
      </c>
      <c r="C12" s="120"/>
      <c r="D12" s="111"/>
      <c r="E12" s="111"/>
      <c r="F12" s="112">
        <f>($B12*$B$7+$C12*$C$7)/100</f>
        <v>0.2673</v>
      </c>
      <c r="G12" s="121"/>
      <c r="H12" s="67"/>
      <c r="I12" s="122" t="s">
        <v>39</v>
      </c>
      <c r="J12" s="123"/>
      <c r="K12" s="116">
        <f>COUNTIF($G$23:$G$82,"=ALG")</f>
        <v>4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>
        <v>0.0004</v>
      </c>
      <c r="C13" s="120"/>
      <c r="D13" s="111"/>
      <c r="E13" s="111"/>
      <c r="F13" s="112">
        <f>($B13*$B$7+$C13*$C$7)/100</f>
        <v>0.00039600000000000003</v>
      </c>
      <c r="G13" s="121"/>
      <c r="H13" s="67"/>
      <c r="I13" s="129" t="s">
        <v>41</v>
      </c>
      <c r="J13" s="123"/>
      <c r="K13" s="116">
        <f>COUNTIF($G$23:$G$82,"=BRm")+COUNTIF($G$23:$G$82,"=BRh")</f>
        <v>2</v>
      </c>
      <c r="L13" s="117"/>
      <c r="M13" s="130" t="s">
        <v>42</v>
      </c>
      <c r="N13" s="131">
        <f>COUNTIF(F23:F82,"&gt;0")</f>
        <v>9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9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>
        <v>0.05</v>
      </c>
      <c r="C15" s="139">
        <v>0.01</v>
      </c>
      <c r="D15" s="111"/>
      <c r="E15" s="111"/>
      <c r="F15" s="112">
        <f>($B15*$B$7+$C15*$C$7)/100</f>
        <v>0.0496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3</v>
      </c>
      <c r="L15" s="117"/>
      <c r="M15" s="140" t="s">
        <v>48</v>
      </c>
      <c r="N15" s="141">
        <f>COUNTIF(J23:J82,"=1")</f>
        <v>4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4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0.2708</v>
      </c>
      <c r="C17" s="120"/>
      <c r="D17" s="111"/>
      <c r="E17" s="111"/>
      <c r="F17" s="147"/>
      <c r="G17" s="112">
        <f>($B17*$B$7+$C17*$C$7)/100</f>
        <v>0.268092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1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>
        <v>0.05</v>
      </c>
      <c r="C18" s="151">
        <v>0.01</v>
      </c>
      <c r="D18" s="111"/>
      <c r="E18" s="152" t="s">
        <v>54</v>
      </c>
      <c r="F18" s="147"/>
      <c r="G18" s="112">
        <f>($B18*$B$7+$C18*$C$7)/100</f>
        <v>0.0496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 t="str">
        <f>IF(G19=F19,"","ATTENTION : le total par grp. floristiques doit être égal")</f>
        <v>ATTENTION : le total par grp. floristiques doit être égal</v>
      </c>
      <c r="E19" s="160" t="str">
        <f>IF(G19=F19,"","au total par grp. Fonctionnels !")</f>
        <v>au total par grp. Fonctionnels !</v>
      </c>
      <c r="F19" s="161">
        <f>SUM(F11:F15)</f>
        <v>0.31729599999999997</v>
      </c>
      <c r="G19" s="161">
        <f>SUM(G16:G18)</f>
        <v>0.317692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0.31991647527901823</v>
      </c>
      <c r="C20" s="171">
        <f>SUM(C23:C82)</f>
        <v>0.01256327657616199</v>
      </c>
      <c r="D20" s="172"/>
      <c r="E20" s="173" t="s">
        <v>54</v>
      </c>
      <c r="F20" s="174">
        <f>($B20*$B$7+$C20*$C$7)/100</f>
        <v>0.31684294329198964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0.31671731052622804</v>
      </c>
      <c r="C21" s="184">
        <f>C20*C7/100</f>
        <v>0.0001256327657616199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0.31684294329198964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0.00041723156144516684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Diatoma sp.</v>
      </c>
      <c r="E23" s="213" t="e">
        <f>IF(D23="",,VLOOKUP(D23,D$22:D22,1,0))</f>
        <v>#N/A</v>
      </c>
      <c r="F23" s="214">
        <f aca="true" t="shared" si="0" ref="F23:F82">($B23*$B$7+$C23*$C$7)/100</f>
        <v>0.0004130592458307152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12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Diatoma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6627</v>
      </c>
      <c r="Q23" s="221">
        <f aca="true" t="shared" si="1" ref="Q23:Q82">IF(ISTEXT(H23),"",(B23*$B$7/100)+(C23*$C$7/100))</f>
        <v>0.0004130592458307152</v>
      </c>
      <c r="R23" s="222">
        <f aca="true" t="shared" si="2" ref="R23:R82">IF(OR(ISTEXT(H23),Q23=0),"",IF(Q23&lt;0.1,1,IF(Q23&lt;1,2,IF(Q23&lt;10,3,IF(Q23&lt;50,4,IF(Q23&gt;=50,5,""))))))</f>
        <v>1</v>
      </c>
      <c r="S23" s="222">
        <f aca="true" t="shared" si="3" ref="S23:S82">IF(ISERROR(R23*I23),0,R23*I23)</f>
        <v>12</v>
      </c>
      <c r="T23" s="222">
        <f aca="true" t="shared" si="4" ref="T23:T82">IF(ISERROR(R23*I23*J23),0,R23*I23*J23)</f>
        <v>24</v>
      </c>
      <c r="U23" s="222">
        <f aca="true" t="shared" si="5" ref="U23:U82">IF(ISERROR(R23*J23),0,R23*J23)</f>
        <v>2</v>
      </c>
      <c r="V23" s="223">
        <f aca="true" t="shared" si="6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DIASPX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26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80</v>
      </c>
      <c r="B24" s="229">
        <v>7.362909907855883E-05</v>
      </c>
      <c r="C24" s="230">
        <v>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Melosira sp.</v>
      </c>
      <c r="E24" s="231" t="e">
        <f>IF(D24="",,VLOOKUP(D24,D$22:D23,1,0))</f>
        <v>#N/A</v>
      </c>
      <c r="F24" s="232">
        <f t="shared" si="0"/>
        <v>7.289280808777324E-05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10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Melosira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8714</v>
      </c>
      <c r="Q24" s="221">
        <f t="shared" si="1"/>
        <v>7.289280808777324E-05</v>
      </c>
      <c r="R24" s="222">
        <f t="shared" si="2"/>
        <v>1</v>
      </c>
      <c r="S24" s="222">
        <f t="shared" si="3"/>
        <v>10</v>
      </c>
      <c r="T24" s="222">
        <f t="shared" si="4"/>
        <v>10</v>
      </c>
      <c r="U24" s="234">
        <f t="shared" si="5"/>
        <v>1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MELSPX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36</v>
      </c>
      <c r="AA24" s="226"/>
      <c r="AB24" s="227"/>
      <c r="AC24" s="227"/>
      <c r="BB24" s="8">
        <f t="shared" si="7"/>
        <v>1</v>
      </c>
    </row>
    <row r="25" spans="1:54" ht="12.75">
      <c r="A25" s="228" t="s">
        <v>16</v>
      </c>
      <c r="B25" s="229">
        <v>0.2646336200904203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Phormidium sp.</v>
      </c>
      <c r="E25" s="231" t="e">
        <f>IF(D25="",,VLOOKUP(D25,D$22:D24,1,0))</f>
        <v>#N/A</v>
      </c>
      <c r="F25" s="232">
        <f t="shared" si="0"/>
        <v>0.2619872838895161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Phormidium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6414</v>
      </c>
      <c r="Q25" s="221">
        <f t="shared" si="1"/>
        <v>0.2619872838895161</v>
      </c>
      <c r="R25" s="222">
        <f t="shared" si="2"/>
        <v>2</v>
      </c>
      <c r="S25" s="222">
        <f t="shared" si="3"/>
        <v>26</v>
      </c>
      <c r="T25" s="222">
        <f t="shared" si="4"/>
        <v>52</v>
      </c>
      <c r="U25" s="234">
        <f t="shared" si="5"/>
        <v>4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PHOSPX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57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81</v>
      </c>
      <c r="B26" s="229">
        <v>0.0004908606605237256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Spirogyra sp.</v>
      </c>
      <c r="E26" s="231" t="e">
        <f>IF(D26="",,VLOOKUP(D26,D$22:D25,1,0))</f>
        <v>#N/A</v>
      </c>
      <c r="F26" s="232">
        <f t="shared" si="0"/>
        <v>0.0004859520539184884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10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Spirogyra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1147</v>
      </c>
      <c r="Q26" s="221">
        <f t="shared" si="1"/>
        <v>0.0004859520539184884</v>
      </c>
      <c r="R26" s="222">
        <f t="shared" si="2"/>
        <v>1</v>
      </c>
      <c r="S26" s="222">
        <f t="shared" si="3"/>
        <v>10</v>
      </c>
      <c r="T26" s="222">
        <f t="shared" si="4"/>
        <v>10</v>
      </c>
      <c r="U26" s="234">
        <f t="shared" si="5"/>
        <v>1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SPISPX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69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82</v>
      </c>
      <c r="B27" s="229">
        <v>0.0004908606605237256</v>
      </c>
      <c r="C27" s="230">
        <v>0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Cinclidotus danubicus</v>
      </c>
      <c r="E27" s="231" t="e">
        <f>IF(D27="",,VLOOKUP(D27,D$22:D26,1,0))</f>
        <v>#N/A</v>
      </c>
      <c r="F27" s="232">
        <f t="shared" si="0"/>
        <v>0.0004859520539184884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13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3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Cinclidotus danubicus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1319</v>
      </c>
      <c r="Q27" s="221">
        <f t="shared" si="1"/>
        <v>0.0004859520539184884</v>
      </c>
      <c r="R27" s="222">
        <f t="shared" si="2"/>
        <v>1</v>
      </c>
      <c r="S27" s="222">
        <f t="shared" si="3"/>
        <v>13</v>
      </c>
      <c r="T27" s="222">
        <f t="shared" si="4"/>
        <v>39</v>
      </c>
      <c r="U27" s="234">
        <f t="shared" si="5"/>
        <v>3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CINDAN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171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83</v>
      </c>
      <c r="B28" s="229">
        <v>0.0004908606605237256</v>
      </c>
      <c r="C28" s="230">
        <v>0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Fontinalis antipyretica</v>
      </c>
      <c r="E28" s="231" t="e">
        <f>IF(D28="",,VLOOKUP(D28,D$22:D27,1,0))</f>
        <v>#N/A</v>
      </c>
      <c r="F28" s="232">
        <f t="shared" si="0"/>
        <v>0.0004859520539184884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Fontinalis antipyretica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1310</v>
      </c>
      <c r="Q28" s="221">
        <f t="shared" si="1"/>
        <v>0.0004859520539184884</v>
      </c>
      <c r="R28" s="222">
        <f t="shared" si="2"/>
        <v>1</v>
      </c>
      <c r="S28" s="222">
        <f t="shared" si="3"/>
        <v>10</v>
      </c>
      <c r="T28" s="222">
        <f t="shared" si="4"/>
        <v>10</v>
      </c>
      <c r="U28" s="234">
        <f t="shared" si="5"/>
        <v>1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FONANT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210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84</v>
      </c>
      <c r="B29" s="229">
        <v>0.0528285518859793</v>
      </c>
      <c r="C29" s="230">
        <v>0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Ranunculus fluitans</v>
      </c>
      <c r="E29" s="231" t="e">
        <f>IF(D29="",,VLOOKUP(D29,D$22:D28,1,0))</f>
        <v>#N/A</v>
      </c>
      <c r="F29" s="232">
        <f t="shared" si="0"/>
        <v>0.052300266367119506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PHy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7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10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Ranunculus fluitans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1903</v>
      </c>
      <c r="Q29" s="221">
        <f t="shared" si="1"/>
        <v>0.052300266367119506</v>
      </c>
      <c r="R29" s="222">
        <f t="shared" si="2"/>
        <v>1</v>
      </c>
      <c r="S29" s="222">
        <f t="shared" si="3"/>
        <v>10</v>
      </c>
      <c r="T29" s="222">
        <f t="shared" si="4"/>
        <v>20</v>
      </c>
      <c r="U29" s="234">
        <f t="shared" si="5"/>
        <v>2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RANFLU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456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85</v>
      </c>
      <c r="B30" s="229">
        <v>0.0004908606605237256</v>
      </c>
      <c r="C30" s="230">
        <v>0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Glyceria fluitans</v>
      </c>
      <c r="E30" s="231" t="e">
        <f>IF(D30="",,VLOOKUP(D30,D$22:D29,1,0))</f>
        <v>#N/A</v>
      </c>
      <c r="F30" s="232">
        <f t="shared" si="0"/>
        <v>0.0004859520539184884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PHe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8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14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Glyceria fluitans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1564</v>
      </c>
      <c r="Q30" s="221">
        <f t="shared" si="1"/>
        <v>0.0004859520539184884</v>
      </c>
      <c r="R30" s="222">
        <f t="shared" si="2"/>
        <v>1</v>
      </c>
      <c r="S30" s="222">
        <f t="shared" si="3"/>
        <v>14</v>
      </c>
      <c r="T30" s="222">
        <f t="shared" si="4"/>
        <v>28</v>
      </c>
      <c r="U30" s="234">
        <f t="shared" si="5"/>
        <v>2</v>
      </c>
      <c r="V30" s="223">
        <f t="shared" si="6"/>
      </c>
      <c r="W30" s="224" t="s">
        <v>55</v>
      </c>
      <c r="Y30" s="225" t="str">
        <f>IF(A30="new.cod","NEWCOD",IF(AND((Z30=""),ISTEXT(A30)),A30,IF(Z30="","",INDEX('[1]liste reference'!$A$8:$A$904,Z30))))</f>
        <v>GLYFLU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575</v>
      </c>
      <c r="AA30" s="226"/>
      <c r="AB30" s="227"/>
      <c r="AC30" s="227"/>
      <c r="BB30" s="8">
        <f t="shared" si="7"/>
        <v>1</v>
      </c>
    </row>
    <row r="31" spans="1:54" ht="12.75">
      <c r="A31" s="228" t="s">
        <v>86</v>
      </c>
      <c r="B31" s="229">
        <v>0</v>
      </c>
      <c r="C31" s="230">
        <v>0.01256327657616199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Phalaris arundinacea</v>
      </c>
      <c r="E31" s="231" t="e">
        <f>IF(D31="",,VLOOKUP(D31,D$22:D30,1,0))</f>
        <v>#N/A</v>
      </c>
      <c r="F31" s="232">
        <f t="shared" si="0"/>
        <v>0.0001256327657616199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PHe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8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10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1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Phalaris arundinacea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1577</v>
      </c>
      <c r="Q31" s="221">
        <f t="shared" si="1"/>
        <v>0.0001256327657616199</v>
      </c>
      <c r="R31" s="222">
        <f t="shared" si="2"/>
        <v>1</v>
      </c>
      <c r="S31" s="222">
        <f t="shared" si="3"/>
        <v>10</v>
      </c>
      <c r="T31" s="222">
        <f t="shared" si="4"/>
        <v>10</v>
      </c>
      <c r="U31" s="234">
        <f t="shared" si="5"/>
        <v>1</v>
      </c>
      <c r="V31" s="223">
        <f t="shared" si="6"/>
      </c>
      <c r="W31" s="224" t="s">
        <v>55</v>
      </c>
      <c r="Y31" s="225" t="str">
        <f>IF(A31="new.cod","NEWCOD",IF(AND((Z31=""),ISTEXT(A31)),A31,IF(Z31="","",INDEX('[1]liste reference'!$A$8:$A$904,Z31))))</f>
        <v>PHAARU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634</v>
      </c>
      <c r="AA31" s="226"/>
      <c r="AB31" s="227"/>
      <c r="AC31" s="227"/>
      <c r="BB31" s="8">
        <f t="shared" si="7"/>
        <v>1</v>
      </c>
    </row>
    <row r="32" spans="1:54" ht="12.75">
      <c r="A32" s="228" t="s">
        <v>55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55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55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55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55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55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55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55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87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RHONE</v>
      </c>
      <c r="B84" s="265" t="str">
        <f>C3</f>
        <v>RHONE A SAINT SORLIN EN BUGEY</v>
      </c>
      <c r="C84" s="266">
        <f>A4</f>
        <v>41886</v>
      </c>
      <c r="D84" s="267">
        <f>IF(ISERROR(SUM($T$23:$T$82)/SUM($U$23:$U$82)),"",SUM($T$23:$T$82)/SUM($U$23:$U$82))</f>
        <v>11.941176470588236</v>
      </c>
      <c r="E84" s="268">
        <f>N13</f>
        <v>9</v>
      </c>
      <c r="F84" s="265">
        <f>N14</f>
        <v>9</v>
      </c>
      <c r="G84" s="265">
        <f>N15</f>
        <v>4</v>
      </c>
      <c r="H84" s="265">
        <f>N16</f>
        <v>4</v>
      </c>
      <c r="I84" s="265">
        <f>N17</f>
        <v>1</v>
      </c>
      <c r="J84" s="269">
        <f>N8</f>
        <v>11.333333333333334</v>
      </c>
      <c r="K84" s="267">
        <f>N9</f>
        <v>1.5634719199411433</v>
      </c>
      <c r="L84" s="268">
        <f>N10</f>
        <v>10</v>
      </c>
      <c r="M84" s="268">
        <f>N11</f>
        <v>14</v>
      </c>
      <c r="N84" s="267">
        <f>O8</f>
        <v>1.6666666666666667</v>
      </c>
      <c r="O84" s="267">
        <f>O9</f>
        <v>0.6666666666666666</v>
      </c>
      <c r="P84" s="268">
        <f>O10</f>
        <v>1</v>
      </c>
      <c r="Q84" s="268">
        <f>O11</f>
        <v>3</v>
      </c>
      <c r="R84" s="268">
        <f>F21</f>
        <v>0.31684294329198964</v>
      </c>
      <c r="S84" s="268">
        <f>K11</f>
        <v>0</v>
      </c>
      <c r="T84" s="268">
        <f>K12</f>
        <v>4</v>
      </c>
      <c r="U84" s="268">
        <f>K13</f>
        <v>2</v>
      </c>
      <c r="V84" s="270">
        <f>K14</f>
        <v>0</v>
      </c>
      <c r="W84" s="271">
        <f>K15</f>
        <v>3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88</v>
      </c>
      <c r="R86" s="8"/>
      <c r="S86" s="223"/>
      <c r="T86" s="8"/>
      <c r="U86" s="8"/>
      <c r="V86" s="8"/>
    </row>
    <row r="87" spans="16:22" ht="12.75" hidden="1">
      <c r="P87" s="8"/>
      <c r="Q87" s="8" t="s">
        <v>89</v>
      </c>
      <c r="R87" s="8"/>
      <c r="S87" s="223">
        <f>VLOOKUP(MAX($S$23:$S$82),($S$23:$U$82),1,0)</f>
        <v>26</v>
      </c>
      <c r="T87" s="8"/>
      <c r="U87" s="8"/>
      <c r="V87" s="8"/>
    </row>
    <row r="88" spans="16:22" ht="12.75" hidden="1">
      <c r="P88" s="8"/>
      <c r="Q88" s="8" t="s">
        <v>90</v>
      </c>
      <c r="R88" s="8"/>
      <c r="S88" s="223">
        <f>VLOOKUP((S87),($S$23:$U$82),2,0)</f>
        <v>52</v>
      </c>
      <c r="T88" s="8"/>
      <c r="U88" s="8"/>
      <c r="V88" s="8"/>
    </row>
    <row r="89" spans="17:20" ht="12.75" hidden="1">
      <c r="Q89" s="8" t="s">
        <v>91</v>
      </c>
      <c r="R89" s="8"/>
      <c r="S89" s="223">
        <f>VLOOKUP((S87),($S$23:$U$82),3,0)</f>
        <v>4</v>
      </c>
      <c r="T89" s="8"/>
    </row>
    <row r="90" spans="17:20" ht="12.75">
      <c r="Q90" s="8" t="s">
        <v>92</v>
      </c>
      <c r="R90" s="8"/>
      <c r="S90" s="274">
        <f>IF(ISERROR(SUM($T$23:$T$82)/SUM($U$23:$U$82)),"",(SUM($T$23:$T$82)-S88)/(SUM($U$23:$U$82)-S89))</f>
        <v>11.615384615384615</v>
      </c>
      <c r="T90" s="8"/>
    </row>
    <row r="91" spans="17:21" ht="12.75">
      <c r="Q91" s="222" t="s">
        <v>93</v>
      </c>
      <c r="R91" s="222"/>
      <c r="S91" s="222" t="str">
        <f>INDEX('[1]liste reference'!$A$8:$A$904,$T$91)</f>
        <v>PHOSPX</v>
      </c>
      <c r="T91" s="8">
        <f>IF(ISERROR(MATCH($S$93,'[1]liste reference'!$A$8:$A$904,0)),MATCH($S$93,'[1]liste reference'!$B$8:$B$904,0),(MATCH($S$93,'[1]liste reference'!$A$8:$A$904,0)))</f>
        <v>57</v>
      </c>
      <c r="U91" s="263"/>
    </row>
    <row r="92" spans="17:20" ht="12.75">
      <c r="Q92" s="8" t="s">
        <v>94</v>
      </c>
      <c r="R92" s="8"/>
      <c r="S92" s="8">
        <f>MATCH(S87,$S$23:$S$82,0)</f>
        <v>3</v>
      </c>
      <c r="T92" s="8"/>
    </row>
    <row r="93" spans="17:20" ht="12.75">
      <c r="Q93" s="222" t="s">
        <v>95</v>
      </c>
      <c r="R93" s="8"/>
      <c r="S93" s="222" t="str">
        <f>INDEX($A$23:$A$82,$S$92)</f>
        <v>PHOSPX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2015-05-29T12:32:48Z</dcterms:created>
  <dcterms:modified xsi:type="dcterms:W3CDTF">2015-05-29T12:32:57Z</dcterms:modified>
  <cp:category/>
  <cp:version/>
  <cp:contentType/>
  <cp:contentStatus/>
</cp:coreProperties>
</file>