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<sst xmlns="http://schemas.openxmlformats.org/spreadsheetml/2006/main" count="210" uniqueCount="99">
  <si>
    <t>Relevés floristiques aquatiques - IBMR</t>
  </si>
  <si>
    <t>Formulaire modèle GIS Macrophytes v_2.6 - février 2012</t>
  </si>
  <si>
    <t>SAGE</t>
  </si>
  <si>
    <t>L. BOURGOIN</t>
  </si>
  <si>
    <t>conforme AFNOR T90-395 oct. 2003</t>
  </si>
  <si>
    <t>Toison</t>
  </si>
  <si>
    <t xml:space="preserve">Toison a Villieu Loyes Mollon </t>
  </si>
  <si>
    <t>06091625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</si>
  <si>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</si>
  <si>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</si>
  <si>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</si>
  <si>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</si>
  <si>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</si>
  <si>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</si>
  <si>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</si>
  <si>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</si>
  <si>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</si>
  <si>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</si>
  <si>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</si>
  <si>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</si>
  <si>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</si>
  <si>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</si>
  <si>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</si>
  <si>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</si>
  <si>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</si>
  <si>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</si>
  <si>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</si>
  <si>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</si>
  <si>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</si>
  <si>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</si>
  <si>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</si>
  <si>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</si>
  <si>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</si>
  <si>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</si>
  <si>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</si>
  <si>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</si>
  <si>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</si>
  <si>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</si>
  <si>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</si>
  <si>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</si>
  <si>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</si>
  <si>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</si>
  <si>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</si>
  <si>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</si>
  <si>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</si>
  <si>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</si>
  <si>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</si>
  <si>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</si>
  <si>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</si>
  <si>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</si>
  <si>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</si>
  <si>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</si>
  <si>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</si>
  <si>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</si>
  <si>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</si>
  <si>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</si>
  <si>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</si>
  <si>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</si>
  <si>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</si>
  <si>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</si>
  <si>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</si>
  <si>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</si>
  <si>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</si>
  <si>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</si>
  <si>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</si>
  <si>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</si>
  <si>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</si>
  <si>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</si>
  <si>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</si>
  <si>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</si>
  <si>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</si>
  <si>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</si>
  <si>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</si>
  <si>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</si>
  <si>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</si>
  <si>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</si>
  <si>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</si>
  <si>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</si>
  <si>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</si>
  <si>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</si>
  <si>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HILSPX</t>
  </si>
  <si>
    <t>OSCSPX</t>
  </si>
  <si>
    <t>VAUSPX</t>
  </si>
  <si>
    <t>AMBRIP</t>
  </si>
  <si>
    <t>CINAQU</t>
  </si>
  <si>
    <t>FISCRA</t>
  </si>
  <si>
    <t>FONANT</t>
  </si>
  <si>
    <t>RHYRIP</t>
  </si>
  <si>
    <t>GLYFLU</t>
  </si>
  <si>
    <t>VERBEC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</si>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</sst>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4" fillId="38" borderId="0" xfId="0" applyNumberFormat="1" applyFont="1" applyFill="1" applyAlignment="1" applyProtection="1">
      <alignment/>
      <protection hidden="1"/>
    </xf>
    <xf numFmtId="165" fontId="24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4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4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1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4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7" fillId="40" borderId="27" xfId="0" applyFont="1" applyFill="1" applyBorder="1" applyAlignment="1" applyProtection="1">
      <alignment horizontal="center"/>
      <protection hidden="1"/>
    </xf>
    <xf numFmtId="165" fontId="17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4" fillId="38" borderId="68" xfId="0" applyNumberFormat="1" applyFont="1" applyFill="1" applyBorder="1" applyAlignment="1" applyProtection="1">
      <alignment/>
      <protection hidden="1"/>
    </xf>
    <xf numFmtId="1" fontId="28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7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4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4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7" fillId="38" borderId="75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41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26</xdr:col>
      <xdr:colOff>0</xdr:colOff>
      <xdr:row>2</xdr:row>
      <xdr:rowOff>114300</xdr:rowOff>
    </xdr:to>
    <xdr:grpSp>
      <xdr:nvGrpSpPr>
        <xdr:cNvPr id="6" name="Group 6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26</xdr:col>
      <xdr:colOff>0</xdr:colOff>
      <xdr:row>8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76200</xdr:rowOff>
    </xdr:from>
    <xdr:to>
      <xdr:col>23</xdr:col>
      <xdr:colOff>819150</xdr:colOff>
      <xdr:row>65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TOIVIL_27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P13" sqref="P13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41087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11.73076923076923</v>
      </c>
      <c r="M5" s="52"/>
      <c r="N5" s="53"/>
      <c r="O5" s="54">
        <v>10.75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10.363636363636363</v>
      </c>
      <c r="O8" s="80">
        <f>AVERAGE(J23:J82)</f>
        <v>1.4545454545454546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4.44</v>
      </c>
      <c r="C9" s="83">
        <v>0.03</v>
      </c>
      <c r="D9" s="84"/>
      <c r="E9" s="84"/>
      <c r="F9" s="85">
        <f aca="true" t="shared" si="0" ref="F9:F15">($B9*$B$7+$C9*$C$7)/100</f>
        <v>3.7785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3.880018744097179</v>
      </c>
      <c r="O9" s="80">
        <f>STDEV(J23:J82)</f>
        <v>0.5222329678670934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15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2.71</v>
      </c>
      <c r="C12" s="114">
        <v>0.01</v>
      </c>
      <c r="D12" s="107"/>
      <c r="E12" s="107"/>
      <c r="F12" s="108">
        <f t="shared" si="0"/>
        <v>2.305</v>
      </c>
      <c r="G12" s="115"/>
      <c r="H12" s="66"/>
      <c r="I12" s="268" t="s">
        <v>37</v>
      </c>
      <c r="J12" s="259"/>
      <c r="K12" s="110">
        <f>COUNTIF($G$23:$G$82,"=ALG")</f>
        <v>4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1.73</v>
      </c>
      <c r="C13" s="114"/>
      <c r="D13" s="107"/>
      <c r="E13" s="107"/>
      <c r="F13" s="108">
        <f t="shared" si="0"/>
        <v>1.4705000000000001</v>
      </c>
      <c r="G13" s="115"/>
      <c r="H13" s="66"/>
      <c r="I13" s="258" t="s">
        <v>39</v>
      </c>
      <c r="J13" s="259"/>
      <c r="K13" s="110">
        <f>COUNTIF($G$23:$G$82,"=BRm")+COUNTIF($G$23:$G$82,"=BRh")</f>
        <v>5</v>
      </c>
      <c r="L13" s="111"/>
      <c r="M13" s="121" t="s">
        <v>40</v>
      </c>
      <c r="N13" s="122">
        <f>COUNTIF(F23:F82,"&gt;0")</f>
        <v>11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11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>
        <v>0.02</v>
      </c>
      <c r="D15" s="107"/>
      <c r="E15" s="107"/>
      <c r="F15" s="108">
        <f t="shared" si="0"/>
        <v>0.003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2</v>
      </c>
      <c r="L15" s="111"/>
      <c r="M15" s="131" t="s">
        <v>46</v>
      </c>
      <c r="N15" s="132">
        <f>COUNTIF(J23:J82,"=1")</f>
        <v>6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5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3.44</v>
      </c>
      <c r="C17" s="114">
        <v>0.01</v>
      </c>
      <c r="D17" s="107"/>
      <c r="E17" s="107"/>
      <c r="F17" s="138"/>
      <c r="G17" s="108">
        <f>($B17*$B$7+$C17*$C$7)/100</f>
        <v>2.9254999999999995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0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>
        <v>0.02</v>
      </c>
      <c r="D18" s="107"/>
      <c r="E18" s="143" t="s">
        <v>52</v>
      </c>
      <c r="F18" s="138"/>
      <c r="G18" s="108">
        <f>($B18*$B$7+$C18*$C$7)/100</f>
        <v>0.003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3.7785</v>
      </c>
      <c r="G19" s="152">
        <f>SUM(G16:G18)</f>
        <v>2.9284999999999997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4.4399999999999995</v>
      </c>
      <c r="C20" s="162">
        <f>SUM(C23:C82)</f>
        <v>0.03</v>
      </c>
      <c r="D20" s="163"/>
      <c r="E20" s="164" t="s">
        <v>52</v>
      </c>
      <c r="F20" s="165">
        <f>($B20*$B$7+$C20*$C$7)/100</f>
        <v>3.7784999999999997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54</v>
      </c>
      <c r="W20" s="146" t="s">
        <v>54</v>
      </c>
    </row>
    <row r="21" spans="1:23" ht="12.75">
      <c r="A21" s="174" t="s">
        <v>58</v>
      </c>
      <c r="B21" s="175">
        <f>B20*B7/100</f>
        <v>3.7739999999999996</v>
      </c>
      <c r="C21" s="175">
        <f>C20*C7/100</f>
        <v>0.0045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3.7784999999999997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54</v>
      </c>
      <c r="W21" s="146" t="s">
        <v>54</v>
      </c>
    </row>
    <row r="22" spans="1:29" ht="12.75">
      <c r="A22" s="185" t="s">
        <v>60</v>
      </c>
      <c r="B22" s="186" t="s">
        <v>61</v>
      </c>
      <c r="C22" s="187" t="s">
        <v>61</v>
      </c>
      <c r="D22" s="134"/>
      <c r="E22" s="134"/>
      <c r="F22" s="188" t="s">
        <v>62</v>
      </c>
      <c r="G22" s="189" t="s">
        <v>63</v>
      </c>
      <c r="H22" s="134"/>
      <c r="I22" s="190" t="s">
        <v>64</v>
      </c>
      <c r="J22" s="190" t="s">
        <v>65</v>
      </c>
      <c r="K22" s="260" t="s">
        <v>66</v>
      </c>
      <c r="L22" s="260"/>
      <c r="M22" s="260"/>
      <c r="N22" s="260"/>
      <c r="O22" s="261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5" ht="12.75">
      <c r="A23" s="199" t="s">
        <v>79</v>
      </c>
      <c r="B23" s="200">
        <v>0.6</v>
      </c>
      <c r="C23" s="201">
        <v>0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0.51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0.51</v>
      </c>
      <c r="R23" s="212">
        <f aca="true" t="shared" si="4" ref="R23:R82">IF(OR(ISTEXT(H23),Q23=0),"",IF(Q23&lt;0.1,1,IF(Q23&lt;1,2,IF(Q23&lt;10,3,IF(Q23&lt;50,4,IF(Q23&gt;=50,5,""))))))</f>
        <v>2</v>
      </c>
      <c r="S23" s="212">
        <f aca="true" t="shared" si="5" ref="S23:S82">IF(ISERROR(R23*I23),0,R23*I23)</f>
        <v>12</v>
      </c>
      <c r="T23" s="212">
        <f aca="true" t="shared" si="6" ref="T23:T82">IF(ISERROR(R23*I23*J23),0,R23*I23*J23)</f>
        <v>12</v>
      </c>
      <c r="U23" s="212">
        <f aca="true" t="shared" si="7" ref="U23:U82">IF(ISERROR(R23*J23),0,R23*J23)</f>
        <v>2</v>
      </c>
      <c r="V23" s="213">
        <v>2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80</v>
      </c>
      <c r="B24" s="219">
        <v>1.5</v>
      </c>
      <c r="C24" s="220">
        <v>0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Hildenbrandia sp.</v>
      </c>
      <c r="E24" s="221" t="e">
        <f>IF(D24="",,VLOOKUP(D24,D$22:D23,1,0))</f>
        <v>#N/A</v>
      </c>
      <c r="F24" s="222">
        <f t="shared" si="1"/>
        <v>1.275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15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Hildenbrandia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1157</v>
      </c>
      <c r="Q24" s="211">
        <f t="shared" si="3"/>
        <v>1.275</v>
      </c>
      <c r="R24" s="212">
        <f t="shared" si="4"/>
        <v>3</v>
      </c>
      <c r="S24" s="212">
        <f t="shared" si="5"/>
        <v>45</v>
      </c>
      <c r="T24" s="212">
        <f t="shared" si="6"/>
        <v>90</v>
      </c>
      <c r="U24" s="226">
        <f t="shared" si="7"/>
        <v>6</v>
      </c>
      <c r="V24" s="213">
        <v>6</v>
      </c>
      <c r="W24" s="227" t="s">
        <v>54</v>
      </c>
      <c r="Y24" s="215" t="str">
        <f>IF(A24="new.cod","NEWCOD",IF(AND((Z24=""),ISTEXT(A24)),A24,IF(Z24="","",INDEX('[1]liste reference'!$A$7:$A$892,Z24))))</f>
        <v>HILSPX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333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81</v>
      </c>
      <c r="B25" s="219">
        <v>0</v>
      </c>
      <c r="C25" s="220">
        <v>0.01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Oscillatoria sp.</v>
      </c>
      <c r="E25" s="221" t="e">
        <f>IF(D25="",,VLOOKUP(D25,D$22:D24,1,0))</f>
        <v>#N/A</v>
      </c>
      <c r="F25" s="222">
        <f t="shared" si="1"/>
        <v>0.0015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11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1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Oscillatoria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118</v>
      </c>
      <c r="Q25" s="211">
        <f t="shared" si="3"/>
        <v>0.0015</v>
      </c>
      <c r="R25" s="212">
        <f t="shared" si="4"/>
        <v>1</v>
      </c>
      <c r="S25" s="212">
        <f t="shared" si="5"/>
        <v>11</v>
      </c>
      <c r="T25" s="212">
        <f t="shared" si="6"/>
        <v>11</v>
      </c>
      <c r="U25" s="226">
        <f t="shared" si="7"/>
        <v>1</v>
      </c>
      <c r="V25" s="213">
        <v>1</v>
      </c>
      <c r="W25" s="214" t="s">
        <v>54</v>
      </c>
      <c r="Y25" s="215" t="str">
        <f>IF(A25="new.cod","NEWCOD",IF(AND((Z25=""),ISTEXT(A25)),A25,IF(Z25="","",INDEX('[1]liste reference'!$A$7:$A$892,Z25))))</f>
        <v>OSCSPX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551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82</v>
      </c>
      <c r="B26" s="219">
        <v>0.61</v>
      </c>
      <c r="C26" s="220">
        <v>0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Vaucheria sp.</v>
      </c>
      <c r="E26" s="221" t="e">
        <f>IF(D26="",,VLOOKUP(D26,D$22:D25,1,0))</f>
        <v>#N/A</v>
      </c>
      <c r="F26" s="222">
        <f t="shared" si="1"/>
        <v>0.5185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4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1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Vaucheria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11">
        <f t="shared" si="3"/>
        <v>0.5185</v>
      </c>
      <c r="R26" s="212">
        <f t="shared" si="4"/>
        <v>2</v>
      </c>
      <c r="S26" s="212">
        <f t="shared" si="5"/>
        <v>8</v>
      </c>
      <c r="T26" s="212">
        <f t="shared" si="6"/>
        <v>8</v>
      </c>
      <c r="U26" s="226">
        <f t="shared" si="7"/>
        <v>2</v>
      </c>
      <c r="V26" s="213">
        <v>2</v>
      </c>
      <c r="W26" s="214" t="s">
        <v>54</v>
      </c>
      <c r="Y26" s="215" t="str">
        <f>IF(A26="new.cod","NEWCOD",IF(AND((Z26=""),ISTEXT(A26)),A26,IF(Z26="","",INDEX('[1]liste reference'!$A$7:$A$892,Z26))))</f>
        <v>VAUSPX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864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83</v>
      </c>
      <c r="B27" s="219">
        <v>0.1</v>
      </c>
      <c r="C27" s="220">
        <v>0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Amblystegium riparium</v>
      </c>
      <c r="E27" s="221" t="e">
        <f>IF(D27="",,VLOOKUP(D27,D$22:D26,1,0))</f>
        <v>#N/A</v>
      </c>
      <c r="F27" s="222">
        <f t="shared" si="1"/>
        <v>0.085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BRm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5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5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Amblystegium riparium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1219</v>
      </c>
      <c r="Q27" s="211">
        <f t="shared" si="3"/>
        <v>0.085</v>
      </c>
      <c r="R27" s="212">
        <f t="shared" si="4"/>
        <v>1</v>
      </c>
      <c r="S27" s="212">
        <f t="shared" si="5"/>
        <v>5</v>
      </c>
      <c r="T27" s="212">
        <f t="shared" si="6"/>
        <v>10</v>
      </c>
      <c r="U27" s="226">
        <f t="shared" si="7"/>
        <v>2</v>
      </c>
      <c r="V27" s="213">
        <v>2</v>
      </c>
      <c r="W27" s="214" t="s">
        <v>54</v>
      </c>
      <c r="Y27" s="215" t="str">
        <f>IF(A27="new.cod","NEWCOD",IF(AND((Z27=""),ISTEXT(A27)),A27,IF(Z27="","",INDEX('[1]liste reference'!$A$7:$A$892,Z27))))</f>
        <v>AMBRIP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24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84</v>
      </c>
      <c r="B28" s="219">
        <v>1.5</v>
      </c>
      <c r="C28" s="220">
        <v>0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Cinclidotus aquaticus</v>
      </c>
      <c r="E28" s="221" t="e">
        <f>IF(D28="",,VLOOKUP(D28,D$22:D27,1,0))</f>
        <v>#N/A</v>
      </c>
      <c r="F28" s="222">
        <f t="shared" si="1"/>
        <v>1.275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BRm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5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15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2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Cinclidotus aquaticus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1318</v>
      </c>
      <c r="Q28" s="211">
        <f t="shared" si="3"/>
        <v>1.275</v>
      </c>
      <c r="R28" s="212">
        <f t="shared" si="4"/>
        <v>3</v>
      </c>
      <c r="S28" s="212">
        <f t="shared" si="5"/>
        <v>45</v>
      </c>
      <c r="T28" s="212">
        <f t="shared" si="6"/>
        <v>90</v>
      </c>
      <c r="U28" s="226">
        <f t="shared" si="7"/>
        <v>6</v>
      </c>
      <c r="V28" s="213">
        <v>6</v>
      </c>
      <c r="W28" s="214" t="s">
        <v>54</v>
      </c>
      <c r="Y28" s="215" t="str">
        <f>IF(A28="new.cod","NEWCOD",IF(AND((Z28=""),ISTEXT(A28)),A28,IF(Z28="","",INDEX('[1]liste reference'!$A$7:$A$892,Z28))))</f>
        <v>CINAQU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173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85</v>
      </c>
      <c r="B29" s="219">
        <v>0.02</v>
      </c>
      <c r="C29" s="220">
        <v>0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Fissidens crassipes</v>
      </c>
      <c r="E29" s="221" t="e">
        <f>IF(D29="",,VLOOKUP(D29,D$22:D28,1,0))</f>
        <v>#N/A</v>
      </c>
      <c r="F29" s="222">
        <f t="shared" si="1"/>
        <v>0.017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12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2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Fissidens crassipes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1294</v>
      </c>
      <c r="Q29" s="211">
        <f t="shared" si="3"/>
        <v>0.017</v>
      </c>
      <c r="R29" s="212">
        <f t="shared" si="4"/>
        <v>1</v>
      </c>
      <c r="S29" s="212">
        <f t="shared" si="5"/>
        <v>12</v>
      </c>
      <c r="T29" s="212">
        <f t="shared" si="6"/>
        <v>24</v>
      </c>
      <c r="U29" s="226">
        <f t="shared" si="7"/>
        <v>2</v>
      </c>
      <c r="V29" s="213">
        <v>2</v>
      </c>
      <c r="W29" s="214" t="s">
        <v>54</v>
      </c>
      <c r="Y29" s="215" t="str">
        <f>IF(A29="new.cod","NEWCOD",IF(AND((Z29=""),ISTEXT(A29)),A29,IF(Z29="","",INDEX('[1]liste reference'!$A$7:$A$892,Z29))))</f>
        <v>FISCRA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291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86</v>
      </c>
      <c r="B30" s="219">
        <v>0.01</v>
      </c>
      <c r="C30" s="220">
        <v>0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Fontinalis antipyretica</v>
      </c>
      <c r="E30" s="221" t="e">
        <f>IF(D30="",,VLOOKUP(D30,D$22:D29,1,0))</f>
        <v>#N/A</v>
      </c>
      <c r="F30" s="222">
        <f t="shared" si="1"/>
        <v>0.0085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10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1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Fontinalis antipyretica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</v>
      </c>
      <c r="Q30" s="211">
        <f t="shared" si="3"/>
        <v>0.0085</v>
      </c>
      <c r="R30" s="212">
        <f t="shared" si="4"/>
        <v>1</v>
      </c>
      <c r="S30" s="212">
        <f t="shared" si="5"/>
        <v>10</v>
      </c>
      <c r="T30" s="212">
        <f t="shared" si="6"/>
        <v>10</v>
      </c>
      <c r="U30" s="226">
        <f t="shared" si="7"/>
        <v>1</v>
      </c>
      <c r="V30" s="213">
        <v>1</v>
      </c>
      <c r="W30" s="214" t="s">
        <v>54</v>
      </c>
      <c r="Y30" s="215" t="str">
        <f>IF(A30="new.cod","NEWCOD",IF(AND((Z30=""),ISTEXT(A30)),A30,IF(Z30="","",INDEX('[1]liste reference'!$A$7:$A$892,Z30))))</f>
        <v>FONANT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304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87</v>
      </c>
      <c r="B31" s="219">
        <v>0.1</v>
      </c>
      <c r="C31" s="220">
        <v>0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Rhynchostegium riparioides</v>
      </c>
      <c r="E31" s="221" t="e">
        <f>IF(D31="",,VLOOKUP(D31,D$22:D30,1,0))</f>
        <v>#N/A</v>
      </c>
      <c r="F31" s="222">
        <f t="shared" si="1"/>
        <v>0.085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BRm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5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12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1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Rhynchostegium riparioides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1268</v>
      </c>
      <c r="Q31" s="211">
        <f t="shared" si="3"/>
        <v>0.085</v>
      </c>
      <c r="R31" s="212">
        <f t="shared" si="4"/>
        <v>1</v>
      </c>
      <c r="S31" s="212">
        <f t="shared" si="5"/>
        <v>12</v>
      </c>
      <c r="T31" s="212">
        <f t="shared" si="6"/>
        <v>12</v>
      </c>
      <c r="U31" s="226">
        <f t="shared" si="7"/>
        <v>1</v>
      </c>
      <c r="V31" s="213">
        <v>1</v>
      </c>
      <c r="W31" s="214" t="s">
        <v>54</v>
      </c>
      <c r="Y31" s="215" t="str">
        <f>IF(A31="new.cod","NEWCOD",IF(AND((Z31=""),ISTEXT(A31)),A31,IF(Z31="","",INDEX('[1]liste reference'!$A$7:$A$892,Z31))))</f>
        <v>RHYRIP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705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88</v>
      </c>
      <c r="B32" s="219">
        <v>0</v>
      </c>
      <c r="C32" s="220">
        <v>0.01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Glyceria fluitans</v>
      </c>
      <c r="E32" s="221" t="e">
        <f>IF(D32="",,VLOOKUP(D32,D$22:D31,1,0))</f>
        <v>#N/A</v>
      </c>
      <c r="F32" s="222">
        <f t="shared" si="1"/>
        <v>0.0015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PHe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8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14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2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Glyceria fluitans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1564</v>
      </c>
      <c r="Q32" s="211">
        <f t="shared" si="3"/>
        <v>0.0015</v>
      </c>
      <c r="R32" s="212">
        <f t="shared" si="4"/>
        <v>1</v>
      </c>
      <c r="S32" s="212">
        <f t="shared" si="5"/>
        <v>14</v>
      </c>
      <c r="T32" s="212">
        <f t="shared" si="6"/>
        <v>28</v>
      </c>
      <c r="U32" s="226">
        <f t="shared" si="7"/>
        <v>2</v>
      </c>
      <c r="V32" s="213">
        <v>2</v>
      </c>
      <c r="W32" s="214" t="s">
        <v>54</v>
      </c>
      <c r="Y32" s="215" t="str">
        <f>IF(A32="new.cod","NEWCOD",IF(AND((Z32=""),ISTEXT(A32)),A32,IF(Z32="","",INDEX('[1]liste reference'!$A$7:$A$892,Z32))))</f>
        <v>GLYFLU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320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89</v>
      </c>
      <c r="B33" s="219">
        <v>0</v>
      </c>
      <c r="C33" s="220">
        <v>0.01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Veronica beccabunga</v>
      </c>
      <c r="E33" s="221" t="e">
        <f>IF(D33="",,VLOOKUP(D33,D$22:D32,1,0))</f>
        <v>#N/A</v>
      </c>
      <c r="F33" s="222">
        <f t="shared" si="1"/>
        <v>0.0015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PHe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8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10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1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Veronica beccabunga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1957</v>
      </c>
      <c r="Q33" s="211">
        <f t="shared" si="3"/>
        <v>0.0015</v>
      </c>
      <c r="R33" s="212">
        <f t="shared" si="4"/>
        <v>1</v>
      </c>
      <c r="S33" s="212">
        <f t="shared" si="5"/>
        <v>10</v>
      </c>
      <c r="T33" s="212">
        <f t="shared" si="6"/>
        <v>10</v>
      </c>
      <c r="U33" s="226">
        <f t="shared" si="7"/>
        <v>1</v>
      </c>
      <c r="V33" s="213">
        <v>1</v>
      </c>
      <c r="W33" s="214" t="s">
        <v>54</v>
      </c>
      <c r="Y33" s="215" t="str">
        <f>IF(A33="new.cod","NEWCOD",IF(AND((Z33=""),ISTEXT(A33)),A33,IF(Z33="","",INDEX('[1]liste reference'!$A$7:$A$892,Z33))))</f>
        <v>VERBEC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867</v>
      </c>
      <c r="AA33" s="216"/>
      <c r="AB33" s="217"/>
      <c r="AC33" s="217"/>
      <c r="BC33" s="8">
        <f t="shared" si="8"/>
        <v>1</v>
      </c>
    </row>
    <row r="34" spans="1:55" ht="12.75">
      <c r="A34" s="218" t="s">
        <v>54</v>
      </c>
      <c r="B34" s="219"/>
      <c r="C34" s="220"/>
      <c r="D34" s="221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1">
        <f>IF(D34="",,VLOOKUP(D34,D$22:D33,1,0))</f>
        <v>0</v>
      </c>
      <c r="F34" s="228">
        <f t="shared" si="1"/>
        <v>0</v>
      </c>
      <c r="G34" s="223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54</v>
      </c>
      <c r="Y34" s="215">
        <f>IF(A34="new.cod","NEWCOD",IF(AND((Z34=""),ISTEXT(A34)),A34,IF(Z34="","",INDEX('[1]liste reference'!$A$7:$A$892,Z34))))</f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/>
      <c r="AC34" s="217"/>
      <c r="BC34" s="8">
        <f t="shared" si="8"/>
      </c>
    </row>
    <row r="35" spans="1:55" ht="12.75">
      <c r="A35" s="218" t="s">
        <v>54</v>
      </c>
      <c r="B35" s="219"/>
      <c r="C35" s="220"/>
      <c r="D35" s="221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1">
        <f>IF(D35="",,VLOOKUP(D35,D$22:D34,1,0))</f>
        <v>0</v>
      </c>
      <c r="F35" s="228">
        <f t="shared" si="1"/>
        <v>0</v>
      </c>
      <c r="G35" s="223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6">
        <f t="shared" si="7"/>
        <v>0</v>
      </c>
      <c r="V35" s="213">
        <v>0</v>
      </c>
      <c r="W35" s="214" t="s">
        <v>54</v>
      </c>
      <c r="Y35" s="215">
        <f>IF(A35="new.cod","NEWCOD",IF(AND((Z35=""),ISTEXT(A35)),A35,IF(Z35="","",INDEX('[1]liste reference'!$A$7:$A$892,Z35))))</f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/>
      <c r="AC35" s="217"/>
      <c r="BC35" s="8">
        <f t="shared" si="8"/>
      </c>
    </row>
    <row r="36" spans="1:55" ht="12.75">
      <c r="A36" s="218" t="s">
        <v>54</v>
      </c>
      <c r="B36" s="219"/>
      <c r="C36" s="220"/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</v>
      </c>
      <c r="G36" s="223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54</v>
      </c>
      <c r="Y36" s="215">
        <f>IF(A36="new.cod","NEWCOD",IF(AND((Z36=""),ISTEXT(A36)),A36,IF(Z36="","",INDEX('[1]liste reference'!$A$7:$A$892,Z36))))</f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/>
      <c r="AC36" s="217"/>
      <c r="BC36" s="8">
        <f t="shared" si="8"/>
      </c>
    </row>
    <row r="37" spans="1:55" ht="12.75">
      <c r="A37" s="218" t="s">
        <v>54</v>
      </c>
      <c r="B37" s="219"/>
      <c r="C37" s="220"/>
      <c r="D37" s="221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1">
        <f>IF(D37="",,VLOOKUP(D37,D$22:D36,1,0))</f>
        <v>0</v>
      </c>
      <c r="F37" s="228">
        <f t="shared" si="1"/>
        <v>0</v>
      </c>
      <c r="G37" s="223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54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18" t="s">
        <v>54</v>
      </c>
      <c r="B38" s="219"/>
      <c r="C38" s="220"/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</v>
      </c>
      <c r="G38" s="223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54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18" t="s">
        <v>54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54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54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54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54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54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54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54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54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54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54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54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54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54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54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54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54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54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54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54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54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54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54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54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54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54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54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54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54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54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54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54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54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54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54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54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54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54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54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54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54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54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54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54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54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54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54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54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90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Toison</v>
      </c>
      <c r="B84" s="248" t="str">
        <f>C3</f>
        <v>Toison a Villieu Loyes Mollon </v>
      </c>
      <c r="C84" s="249">
        <f>A4</f>
        <v>41087</v>
      </c>
      <c r="D84" s="250">
        <f>IF(ISERROR(SUM($T$23:$T$82)/SUM($U$23:$U$82)),"",SUM($T$23:$T$82)/SUM($U$23:$U$82))</f>
        <v>11.73076923076923</v>
      </c>
      <c r="E84" s="251">
        <f>N13</f>
        <v>11</v>
      </c>
      <c r="F84" s="248">
        <f>N14</f>
        <v>11</v>
      </c>
      <c r="G84" s="248">
        <f>N15</f>
        <v>6</v>
      </c>
      <c r="H84" s="248">
        <f>N16</f>
        <v>5</v>
      </c>
      <c r="I84" s="248">
        <f>N17</f>
        <v>0</v>
      </c>
      <c r="J84" s="252">
        <f>N8</f>
        <v>10.363636363636363</v>
      </c>
      <c r="K84" s="250">
        <f>N9</f>
        <v>3.880018744097179</v>
      </c>
      <c r="L84" s="251">
        <f>N10</f>
        <v>4</v>
      </c>
      <c r="M84" s="251">
        <f>N11</f>
        <v>15</v>
      </c>
      <c r="N84" s="250">
        <f>O8</f>
        <v>1.4545454545454546</v>
      </c>
      <c r="O84" s="250">
        <f>O9</f>
        <v>0.5222329678670934</v>
      </c>
      <c r="P84" s="251">
        <f>O10</f>
        <v>1</v>
      </c>
      <c r="Q84" s="251">
        <f>O11</f>
        <v>2</v>
      </c>
      <c r="R84" s="251">
        <f>F21</f>
        <v>3.7784999999999997</v>
      </c>
      <c r="S84" s="251">
        <f>K11</f>
        <v>0</v>
      </c>
      <c r="T84" s="251">
        <f>K12</f>
        <v>4</v>
      </c>
      <c r="U84" s="251">
        <f>K13</f>
        <v>5</v>
      </c>
      <c r="V84" s="253">
        <f>K14</f>
        <v>0</v>
      </c>
      <c r="W84" s="254">
        <f>K15</f>
        <v>2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91</v>
      </c>
      <c r="R86" s="8"/>
      <c r="S86" s="213"/>
      <c r="T86" s="8"/>
      <c r="U86" s="8"/>
      <c r="V86" s="8"/>
    </row>
    <row r="87" spans="16:22" ht="12.75" hidden="1">
      <c r="P87" s="8"/>
      <c r="Q87" s="8" t="s">
        <v>92</v>
      </c>
      <c r="R87" s="8"/>
      <c r="S87" s="21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93</v>
      </c>
      <c r="R88" s="8"/>
      <c r="S88" s="213">
        <f>VLOOKUP((S87),($S$23:$U$82),2,0)</f>
        <v>90</v>
      </c>
      <c r="T88" s="8"/>
      <c r="U88" s="8"/>
      <c r="V88" s="8"/>
    </row>
    <row r="89" spans="17:20" ht="12.75">
      <c r="Q89" s="8" t="s">
        <v>94</v>
      </c>
      <c r="R89" s="8"/>
      <c r="S89" s="213">
        <f>VLOOKUP((S87),($S$23:$U$82),3,0)</f>
        <v>6</v>
      </c>
      <c r="T89" s="8"/>
    </row>
    <row r="90" spans="17:20" ht="12.75">
      <c r="Q90" s="8" t="s">
        <v>95</v>
      </c>
      <c r="R90" s="8"/>
      <c r="S90" s="257">
        <f>IF(ISERROR(SUM($T$23:$T$82)/SUM($U$23:$U$82)),"",(SUM($T$23:$T$82)-S88)/(SUM($U$23:$U$82)-S89))</f>
        <v>10.75</v>
      </c>
      <c r="T90" s="8"/>
    </row>
    <row r="91" spans="17:21" ht="12.75">
      <c r="Q91" s="212" t="s">
        <v>96</v>
      </c>
      <c r="R91" s="212"/>
      <c r="S91" s="212" t="str">
        <f>INDEX('[1]liste reference'!$A$7:$A$892,$T$91)</f>
        <v>HILSPX</v>
      </c>
      <c r="T91" s="8">
        <f>IF(ISERROR(MATCH($S$93,'[1]liste reference'!$A$7:$A$892,0)),MATCH($S$93,'[1]liste reference'!$B$7:$B$892,0),(MATCH($S$93,'[1]liste reference'!$A$7:$A$892,0)))</f>
        <v>333</v>
      </c>
      <c r="U91" s="246"/>
    </row>
    <row r="92" spans="17:20" ht="12.75">
      <c r="Q92" s="8" t="s">
        <v>97</v>
      </c>
      <c r="R92" s="8"/>
      <c r="S92" s="8">
        <f>MATCH(S87,$S$23:$S$82,0)</f>
        <v>2</v>
      </c>
      <c r="T92" s="8"/>
    </row>
    <row r="93" spans="17:20" ht="12.75">
      <c r="Q93" s="212" t="s">
        <v>98</v>
      </c>
      <c r="R93" s="8"/>
      <c r="S93" s="212" t="str">
        <f>INDEX($A$23:$A$82,$S$92)</f>
        <v>HILSPX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4" operator="equal" stopIfTrue="1">
      <formula>"x"</formula>
    </cfRule>
  </conditionalFormatting>
  <conditionalFormatting sqref="W23:X23">
    <cfRule type="cellIs" priority="22" dxfId="0" operator="equal" stopIfTrue="1">
      <formula>"DEJA SAISI !"</formula>
    </cfRule>
    <cfRule type="cellIs" priority="23" dxfId="2" operator="equal" stopIfTrue="1">
      <formula>"non répertorié"</formula>
    </cfRule>
    <cfRule type="expression" priority="24" dxfId="1" stopIfTrue="1">
      <formula>AND(ISTEXT($G$23),ISBLANK($I$23))</formula>
    </cfRule>
  </conditionalFormatting>
  <conditionalFormatting sqref="L27:O82 K23:K82 O23:O26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IMBERT Loïc</cp:lastModifiedBy>
  <dcterms:created xsi:type="dcterms:W3CDTF">2012-12-17T15:30:29Z</dcterms:created>
  <dcterms:modified xsi:type="dcterms:W3CDTF">2013-10-03T11:56:53Z</dcterms:modified>
  <cp:category/>
  <cp:version/>
  <cp:contentType/>
  <cp:contentStatus/>
</cp:coreProperties>
</file>