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<sst xmlns="http://schemas.openxmlformats.org/spreadsheetml/2006/main" count="219" uniqueCount="98">
  <si>
    <t>Relevés floristiques aquatiques - IBMR</t>
  </si>
  <si>
    <t xml:space="preserve">Formulaire modèle GIS Macrophytes v 3.3 - novembre 2013  </t>
  </si>
  <si>
    <t>SAGE</t>
  </si>
  <si>
    <t>M.GAUTHIER S.RENAHY</t>
  </si>
  <si>
    <t>conforme AFNOR T90-395 oct. 2003</t>
  </si>
  <si>
    <t>Toison</t>
  </si>
  <si>
    <t>Toison à Villieu Loyes Mollon</t>
  </si>
  <si>
    <t>06091625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</si>
  <si>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</si>
  <si>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</si>
  <si>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</si>
  <si>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</si>
  <si>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</si>
  <si>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</si>
  <si>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</si>
  <si>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</si>
  <si>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HILSPX</t>
  </si>
  <si>
    <t>Faciès dominant</t>
  </si>
  <si>
    <t>plat courant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</si>
  <si>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</si>
  <si>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</si>
  <si>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</si>
  <si>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</si>
  <si>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</si>
  <si>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</si>
  <si>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</si>
  <si>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</si>
  <si>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</si>
  <si>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</si>
  <si>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</si>
  <si>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</si>
  <si>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</si>
  <si>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</si>
  <si>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</si>
  <si>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</si>
  <si>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</si>
  <si>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</si>
  <si>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</si>
  <si>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</si>
  <si>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</si>
  <si>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</si>
  <si>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</si>
  <si>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</si>
  <si>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</si>
  <si>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</si>
  <si>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</si>
  <si>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</si>
  <si>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</si>
  <si>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</si>
  <si>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</si>
  <si>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</si>
  <si>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</si>
  <si>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</si>
  <si>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</si>
  <si>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</si>
  <si>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</si>
  <si>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</si>
  <si>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</si>
  <si>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</si>
  <si>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</si>
  <si>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</si>
  <si>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</si>
  <si>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</si>
  <si>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</si>
  <si>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</si>
  <si>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</si>
  <si>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</si>
  <si>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</si>
  <si>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</si>
  <si>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</si>
  <si>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</si>
  <si>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</si>
  <si>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</si>
  <si>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</si>
  <si>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</si>
  <si>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</si>
  <si>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</si>
  <si>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</si>
  <si>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</si>
  <si>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AUDSPX</t>
  </si>
  <si>
    <t>CLASPX</t>
  </si>
  <si>
    <t>LEASPX</t>
  </si>
  <si>
    <t>PHOSPX</t>
  </si>
  <si>
    <t>VAUSPX</t>
  </si>
  <si>
    <t>AMBRIP</t>
  </si>
  <si>
    <t>CINDAN</t>
  </si>
  <si>
    <t>FISCRA</t>
  </si>
  <si>
    <t>FONANT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</si>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</sst>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TOIVIL_17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K43" sqref="K4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41807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11.90625</v>
      </c>
      <c r="M5" s="52"/>
      <c r="N5" s="53" t="s">
        <v>16</v>
      </c>
      <c r="O5" s="54">
        <v>11.192307692307692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10.727272727272727</v>
      </c>
      <c r="O8" s="84">
        <f>IF(ISERROR(AVERAGE(J23:J82)),"      -",AVERAGE(J23:J82))</f>
        <v>1.7272727272727273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5.74</v>
      </c>
      <c r="C9" s="87">
        <v>0.01</v>
      </c>
      <c r="D9" s="88"/>
      <c r="E9" s="88"/>
      <c r="F9" s="89">
        <f>($B9*$B$7+$C9*$C$7)/100</f>
        <v>5.167000000000001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3.7680694138295827</v>
      </c>
      <c r="O9" s="84">
        <f>IF(ISERROR(STDEVP(J23:J82)),"      -",STDEVP(J23:J82))</f>
        <v>0.616575453011388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15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3.81</v>
      </c>
      <c r="C12" s="120"/>
      <c r="D12" s="111"/>
      <c r="E12" s="111"/>
      <c r="F12" s="112">
        <f>($B12*$B$7+$C12*$C$7)/100</f>
        <v>3.429</v>
      </c>
      <c r="G12" s="121"/>
      <c r="H12" s="67"/>
      <c r="I12" s="122" t="s">
        <v>39</v>
      </c>
      <c r="J12" s="123"/>
      <c r="K12" s="116">
        <f>COUNTIF($G$23:$G$82,"=ALG")</f>
        <v>6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1.93</v>
      </c>
      <c r="C13" s="120">
        <v>0.01</v>
      </c>
      <c r="D13" s="111"/>
      <c r="E13" s="111"/>
      <c r="F13" s="112">
        <f>($B13*$B$7+$C13*$C$7)/100</f>
        <v>1.7379999999999998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11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11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6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5.74</v>
      </c>
      <c r="C17" s="120">
        <v>0.01</v>
      </c>
      <c r="D17" s="111"/>
      <c r="E17" s="111"/>
      <c r="F17" s="147"/>
      <c r="G17" s="112">
        <f>($B17*$B$7+$C17*$C$7)/100</f>
        <v>5.167000000000001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5.167</v>
      </c>
      <c r="G19" s="161">
        <f>SUM(G16:G18)</f>
        <v>5.167000000000001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5.74</v>
      </c>
      <c r="C20" s="171">
        <f>SUM(C23:C82)</f>
        <v>0.01</v>
      </c>
      <c r="D20" s="172"/>
      <c r="E20" s="173" t="s">
        <v>54</v>
      </c>
      <c r="F20" s="174">
        <f>($B20*$B$7+$C20*$C$7)/100</f>
        <v>5.167000000000001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5.166</v>
      </c>
      <c r="C21" s="184">
        <f>C20*C7/100</f>
        <v>0.001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5.167000000000001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0.001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Audouinella sp.</v>
      </c>
      <c r="E23" s="213" t="e">
        <f>IF(D23="",,VLOOKUP(D23,D$22:D22,1,0))</f>
        <v>#N/A</v>
      </c>
      <c r="F23" s="214">
        <f aca="true" t="shared" si="0" ref="F23:F82">($B23*$B$7+$C23*$C$7)/100</f>
        <v>0.0009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Audouinella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6076</v>
      </c>
      <c r="Q23" s="221">
        <f aca="true" t="shared" si="1" ref="Q23:Q82">IF(ISTEXT(H23),"",(B23*$B$7/100)+(C23*$C$7/100))</f>
        <v>0.0009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13</v>
      </c>
      <c r="T23" s="222">
        <f aca="true" t="shared" si="4" ref="T23:T82">IF(ISERROR(R23*I23*J23),0,R23*I23*J23)</f>
        <v>26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AUDSPX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0.02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Cladophora sp.</v>
      </c>
      <c r="E24" s="231" t="e">
        <f>IF(D24="",,VLOOKUP(D24,D$22:D23,1,0))</f>
        <v>#N/A</v>
      </c>
      <c r="F24" s="232">
        <f t="shared" si="0"/>
        <v>0.018000000000000002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Cladophora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1124</v>
      </c>
      <c r="Q24" s="221">
        <f t="shared" si="1"/>
        <v>0.018000000000000002</v>
      </c>
      <c r="R24" s="222">
        <f t="shared" si="2"/>
        <v>1</v>
      </c>
      <c r="S24" s="222">
        <f t="shared" si="3"/>
        <v>6</v>
      </c>
      <c r="T24" s="222">
        <f t="shared" si="4"/>
        <v>6</v>
      </c>
      <c r="U24" s="234">
        <f t="shared" si="5"/>
        <v>1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CLASPX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23</v>
      </c>
      <c r="AA24" s="226"/>
      <c r="AB24" s="227"/>
      <c r="AC24" s="227"/>
      <c r="BB24" s="8">
        <f t="shared" si="7"/>
        <v>1</v>
      </c>
    </row>
    <row r="25" spans="1:54" ht="12.75">
      <c r="A25" s="228" t="s">
        <v>16</v>
      </c>
      <c r="B25" s="229">
        <v>3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Hildenbrandia sp.</v>
      </c>
      <c r="E25" s="231" t="e">
        <f>IF(D25="",,VLOOKUP(D25,D$22:D24,1,0))</f>
        <v>#N/A</v>
      </c>
      <c r="F25" s="232">
        <f t="shared" si="0"/>
        <v>2.7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Hildenbrandia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1157</v>
      </c>
      <c r="Q25" s="221">
        <f t="shared" si="1"/>
        <v>2.7</v>
      </c>
      <c r="R25" s="222">
        <f t="shared" si="2"/>
        <v>3</v>
      </c>
      <c r="S25" s="222">
        <f t="shared" si="3"/>
        <v>45</v>
      </c>
      <c r="T25" s="222">
        <f t="shared" si="4"/>
        <v>90</v>
      </c>
      <c r="U25" s="234">
        <f t="shared" si="5"/>
        <v>6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HILSPX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30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81</v>
      </c>
      <c r="B26" s="229">
        <v>0.099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Lemanea sp.</v>
      </c>
      <c r="E26" s="231" t="e">
        <f>IF(D26="",,VLOOKUP(D26,D$22:D25,1,0))</f>
        <v>#N/A</v>
      </c>
      <c r="F26" s="232">
        <f t="shared" si="0"/>
        <v>0.0891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15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Lemanea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1159</v>
      </c>
      <c r="Q26" s="221">
        <f t="shared" si="1"/>
        <v>0.0891</v>
      </c>
      <c r="R26" s="222">
        <f t="shared" si="2"/>
        <v>1</v>
      </c>
      <c r="S26" s="222">
        <f t="shared" si="3"/>
        <v>15</v>
      </c>
      <c r="T26" s="222">
        <f t="shared" si="4"/>
        <v>30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LEASPX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34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Phormidium sp.</v>
      </c>
      <c r="E27" s="231" t="e">
        <f>IF(D27="",,VLOOKUP(D27,D$22:D26,1,0))</f>
        <v>#N/A</v>
      </c>
      <c r="F27" s="232">
        <f t="shared" si="0"/>
        <v>0.009000000000000001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13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Phormidium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6414</v>
      </c>
      <c r="Q27" s="221">
        <f t="shared" si="1"/>
        <v>0.009000000000000001</v>
      </c>
      <c r="R27" s="222">
        <f t="shared" si="2"/>
        <v>1</v>
      </c>
      <c r="S27" s="222">
        <f t="shared" si="3"/>
        <v>13</v>
      </c>
      <c r="T27" s="222">
        <f t="shared" si="4"/>
        <v>26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PHOSPX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57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0.6799999999999999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Vaucheria sp.</v>
      </c>
      <c r="E28" s="231" t="e">
        <f>IF(D28="",,VLOOKUP(D28,D$22:D27,1,0))</f>
        <v>#N/A</v>
      </c>
      <c r="F28" s="232">
        <f t="shared" si="0"/>
        <v>0.612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4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Vaucheria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6193</v>
      </c>
      <c r="Q28" s="221">
        <f t="shared" si="1"/>
        <v>0.612</v>
      </c>
      <c r="R28" s="222">
        <f t="shared" si="2"/>
        <v>2</v>
      </c>
      <c r="S28" s="222">
        <f t="shared" si="3"/>
        <v>8</v>
      </c>
      <c r="T28" s="222">
        <f t="shared" si="4"/>
        <v>8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VAUSPX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82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0.02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Amblystegium riparium</v>
      </c>
      <c r="E29" s="231" t="e">
        <f>IF(D29="",,VLOOKUP(D29,D$22:D28,1,0))</f>
        <v>#N/A</v>
      </c>
      <c r="F29" s="232">
        <f t="shared" si="0"/>
        <v>0.018000000000000002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5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Amblystegium riparium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1219</v>
      </c>
      <c r="Q29" s="221">
        <f t="shared" si="1"/>
        <v>0.018000000000000002</v>
      </c>
      <c r="R29" s="222">
        <f t="shared" si="2"/>
        <v>1</v>
      </c>
      <c r="S29" s="222">
        <f t="shared" si="3"/>
        <v>5</v>
      </c>
      <c r="T29" s="222">
        <f t="shared" si="4"/>
        <v>10</v>
      </c>
      <c r="U29" s="234">
        <f t="shared" si="5"/>
        <v>2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AMBRIP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148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1.5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Cinclidotus danubicus</v>
      </c>
      <c r="E30" s="231" t="e">
        <f>IF(D30="",,VLOOKUP(D30,D$22:D29,1,0))</f>
        <v>#N/A</v>
      </c>
      <c r="F30" s="232">
        <f t="shared" si="0"/>
        <v>1.35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13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3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Cinclidotus danubicus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1319</v>
      </c>
      <c r="Q30" s="221">
        <f t="shared" si="1"/>
        <v>1.35</v>
      </c>
      <c r="R30" s="222">
        <f t="shared" si="2"/>
        <v>3</v>
      </c>
      <c r="S30" s="222">
        <f t="shared" si="3"/>
        <v>39</v>
      </c>
      <c r="T30" s="222">
        <f t="shared" si="4"/>
        <v>117</v>
      </c>
      <c r="U30" s="234">
        <f t="shared" si="5"/>
        <v>9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CINDAN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171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0.01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Fissidens crassipes</v>
      </c>
      <c r="E31" s="231" t="e">
        <f>IF(D31="",,VLOOKUP(D31,D$22:D30,1,0))</f>
        <v>#N/A</v>
      </c>
      <c r="F31" s="232">
        <f t="shared" si="0"/>
        <v>0.009000000000000001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Fissidens crassipes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1294</v>
      </c>
      <c r="Q31" s="221">
        <f t="shared" si="1"/>
        <v>0.009000000000000001</v>
      </c>
      <c r="R31" s="222">
        <f t="shared" si="2"/>
        <v>1</v>
      </c>
      <c r="S31" s="222">
        <f t="shared" si="3"/>
        <v>12</v>
      </c>
      <c r="T31" s="222">
        <f t="shared" si="4"/>
        <v>24</v>
      </c>
      <c r="U31" s="234">
        <f t="shared" si="5"/>
        <v>2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FISCRA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197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87</v>
      </c>
      <c r="B32" s="229">
        <v>0.2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Fontinalis antipyretica</v>
      </c>
      <c r="E32" s="231" t="e">
        <f>IF(D32="",,VLOOKUP(D32,D$22:D31,1,0))</f>
        <v>#N/A</v>
      </c>
      <c r="F32" s="232">
        <f t="shared" si="0"/>
        <v>0.18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BRm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5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10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Fontinalis antipyretica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1310</v>
      </c>
      <c r="Q32" s="221">
        <f t="shared" si="1"/>
        <v>0.18</v>
      </c>
      <c r="R32" s="222">
        <f t="shared" si="2"/>
        <v>2</v>
      </c>
      <c r="S32" s="222">
        <f t="shared" si="3"/>
        <v>20</v>
      </c>
      <c r="T32" s="222">
        <f t="shared" si="4"/>
        <v>20</v>
      </c>
      <c r="U32" s="234">
        <f t="shared" si="5"/>
        <v>2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FONANT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210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88</v>
      </c>
      <c r="B33" s="229">
        <v>0.2</v>
      </c>
      <c r="C33" s="230">
        <v>0.01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Rhynchostegium riparioides</v>
      </c>
      <c r="E33" s="231" t="e">
        <f>IF(D33="",,VLOOKUP(D33,D$22:D32,1,0))</f>
        <v>#N/A</v>
      </c>
      <c r="F33" s="232">
        <f t="shared" si="0"/>
        <v>0.18100000000000002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BRm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5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12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Rhynchostegium riparioides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1268</v>
      </c>
      <c r="Q33" s="221">
        <f t="shared" si="1"/>
        <v>0.181</v>
      </c>
      <c r="R33" s="222">
        <f t="shared" si="2"/>
        <v>2</v>
      </c>
      <c r="S33" s="222">
        <f t="shared" si="3"/>
        <v>24</v>
      </c>
      <c r="T33" s="222">
        <f t="shared" si="4"/>
        <v>24</v>
      </c>
      <c r="U33" s="234">
        <f t="shared" si="5"/>
        <v>2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RHYRIP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252</v>
      </c>
      <c r="AA33" s="226"/>
      <c r="AB33" s="227"/>
      <c r="AC33" s="227"/>
      <c r="BB33" s="8">
        <f t="shared" si="7"/>
        <v>1</v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89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Toison</v>
      </c>
      <c r="B84" s="265" t="str">
        <f>C3</f>
        <v>Toison à Villieu Loyes Mollon</v>
      </c>
      <c r="C84" s="266">
        <f>A4</f>
        <v>41807</v>
      </c>
      <c r="D84" s="267">
        <f>IF(ISERROR(SUM($T$23:$T$82)/SUM($U$23:$U$82)),"",SUM($T$23:$T$82)/SUM($U$23:$U$82))</f>
        <v>11.90625</v>
      </c>
      <c r="E84" s="268">
        <f>N13</f>
        <v>11</v>
      </c>
      <c r="F84" s="265">
        <f>N14</f>
        <v>11</v>
      </c>
      <c r="G84" s="265">
        <f>N15</f>
        <v>4</v>
      </c>
      <c r="H84" s="265">
        <f>N16</f>
        <v>6</v>
      </c>
      <c r="I84" s="265">
        <f>N17</f>
        <v>1</v>
      </c>
      <c r="J84" s="269">
        <f>N8</f>
        <v>10.727272727272727</v>
      </c>
      <c r="K84" s="267">
        <f>N9</f>
        <v>3.7680694138295827</v>
      </c>
      <c r="L84" s="268">
        <f>N10</f>
        <v>4</v>
      </c>
      <c r="M84" s="268">
        <f>N11</f>
        <v>15</v>
      </c>
      <c r="N84" s="267">
        <f>O8</f>
        <v>1.7272727272727273</v>
      </c>
      <c r="O84" s="267">
        <f>O9</f>
        <v>0.616575453011388</v>
      </c>
      <c r="P84" s="268">
        <f>O10</f>
        <v>1</v>
      </c>
      <c r="Q84" s="268">
        <f>O11</f>
        <v>3</v>
      </c>
      <c r="R84" s="268">
        <f>F21</f>
        <v>5.167000000000001</v>
      </c>
      <c r="S84" s="268">
        <f>K11</f>
        <v>0</v>
      </c>
      <c r="T84" s="268">
        <f>K12</f>
        <v>6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90</v>
      </c>
      <c r="R86" s="8"/>
      <c r="S86" s="223"/>
      <c r="T86" s="8"/>
      <c r="U86" s="8"/>
      <c r="V86" s="8"/>
    </row>
    <row r="87" spans="16:22" ht="12.75" hidden="1">
      <c r="P87" s="8"/>
      <c r="Q87" s="8" t="s">
        <v>91</v>
      </c>
      <c r="R87" s="8"/>
      <c r="S87" s="22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92</v>
      </c>
      <c r="R88" s="8"/>
      <c r="S88" s="223">
        <f>VLOOKUP((S87),($S$23:$U$82),2,0)</f>
        <v>90</v>
      </c>
      <c r="T88" s="8"/>
      <c r="U88" s="8"/>
      <c r="V88" s="8"/>
    </row>
    <row r="89" spans="17:20" ht="12.75" hidden="1">
      <c r="Q89" s="8" t="s">
        <v>93</v>
      </c>
      <c r="R89" s="8"/>
      <c r="S89" s="223">
        <f>VLOOKUP((S87),($S$23:$U$82),3,0)</f>
        <v>6</v>
      </c>
      <c r="T89" s="8"/>
    </row>
    <row r="90" spans="17:20" ht="12.75">
      <c r="Q90" s="8" t="s">
        <v>94</v>
      </c>
      <c r="R90" s="8"/>
      <c r="S90" s="274">
        <f>IF(ISERROR(SUM($T$23:$T$82)/SUM($U$23:$U$82)),"",(SUM($T$23:$T$82)-S88)/(SUM($U$23:$U$82)-S89))</f>
        <v>11.192307692307692</v>
      </c>
      <c r="T90" s="8"/>
    </row>
    <row r="91" spans="17:21" ht="12.75">
      <c r="Q91" s="222" t="s">
        <v>95</v>
      </c>
      <c r="R91" s="222"/>
      <c r="S91" s="222" t="str">
        <f>INDEX('[1]liste reference'!$A$8:$A$904,$T$91)</f>
        <v>HILSPX</v>
      </c>
      <c r="T91" s="8">
        <f>IF(ISERROR(MATCH($S$93,'[1]liste reference'!$A$8:$A$904,0)),MATCH($S$93,'[1]liste reference'!$B$8:$B$904,0),(MATCH($S$93,'[1]liste reference'!$A$8:$A$904,0)))</f>
        <v>30</v>
      </c>
      <c r="U91" s="263"/>
    </row>
    <row r="92" spans="17:20" ht="12.75">
      <c r="Q92" s="8" t="s">
        <v>96</v>
      </c>
      <c r="R92" s="8"/>
      <c r="S92" s="8">
        <f>MATCH(S87,$S$23:$S$82,0)</f>
        <v>3</v>
      </c>
      <c r="T92" s="8"/>
    </row>
    <row r="93" spans="17:20" ht="12.75">
      <c r="Q93" s="222" t="s">
        <v>97</v>
      </c>
      <c r="R93" s="8"/>
      <c r="S93" s="222" t="str">
        <f>INDEX($A$23:$A$82,$S$92)</f>
        <v>HILSPX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2014-12-19T14:30:06Z</dcterms:created>
  <dcterms:modified xsi:type="dcterms:W3CDTF">2014-12-19T14:30:19Z</dcterms:modified>
  <cp:category/>
  <cp:version/>
  <cp:contentType/>
  <cp:contentStatus/>
</cp:coreProperties>
</file>