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<sst xmlns="http://schemas.openxmlformats.org/spreadsheetml/2006/main" count="219" uniqueCount="103">
  <si>
    <t>Relevés floristiques aquatiques - IBMR</t>
  </si>
  <si>
    <t xml:space="preserve">Formulaire modèle GIS Macrophytes v 3.3 - novembre 2013  </t>
  </si>
  <si>
    <t xml:space="preserve">SAGE ENVIRONNEMENT </t>
  </si>
  <si>
    <t>L.ISEBE P.BELLY</t>
  </si>
  <si>
    <t>conforme AFNOR T90-395 oct. 2003</t>
  </si>
  <si>
    <t>RHONE</t>
  </si>
  <si>
    <t xml:space="preserve">RHONE A CHASSE SUR RHONE </t>
  </si>
  <si>
    <t>06098000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</si>
  <si>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</si>
  <si>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</si>
  <si>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</si>
  <si>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</si>
  <si>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</si>
  <si>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</si>
  <si>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</si>
  <si>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</si>
  <si>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</si>
  <si>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</si>
  <si>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chenal lotique</t>
  </si>
  <si>
    <t>plat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</si>
  <si>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</si>
  <si>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</si>
  <si>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</si>
  <si>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</si>
  <si>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</si>
  <si>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</si>
  <si>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</si>
  <si>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</si>
  <si>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</si>
  <si>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</si>
  <si>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</si>
  <si>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</si>
  <si>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</si>
  <si>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</si>
  <si>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</si>
  <si>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</si>
  <si>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</si>
  <si>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</si>
  <si>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</si>
  <si>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</si>
  <si>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</si>
  <si>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</si>
  <si>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</si>
  <si>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</si>
  <si>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</si>
  <si>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</si>
  <si>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</si>
  <si>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</si>
  <si>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</si>
  <si>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</si>
  <si>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</si>
  <si>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</si>
  <si>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</si>
  <si>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</si>
  <si>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</si>
  <si>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</si>
  <si>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</si>
  <si>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</si>
  <si>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</si>
  <si>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</si>
  <si>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</si>
  <si>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</si>
  <si>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</si>
  <si>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</si>
  <si>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</si>
  <si>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</si>
  <si>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</si>
  <si>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</si>
  <si>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</si>
  <si>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</si>
  <si>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</si>
  <si>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</si>
  <si>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</si>
  <si>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</si>
  <si>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</si>
  <si>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</si>
  <si>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</si>
  <si>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</si>
  <si>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</si>
  <si>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</si>
  <si>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</si>
  <si>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OEDSPX</t>
  </si>
  <si>
    <t>PHOSPX</t>
  </si>
  <si>
    <t>SPISPX</t>
  </si>
  <si>
    <t>ULOSPX</t>
  </si>
  <si>
    <t>VAUSPX</t>
  </si>
  <si>
    <t>CINDAN</t>
  </si>
  <si>
    <t>CINRIP</t>
  </si>
  <si>
    <t>FONANT</t>
  </si>
  <si>
    <t>OCTFON</t>
  </si>
  <si>
    <t>RHYRIP</t>
  </si>
  <si>
    <t>POTPEC</t>
  </si>
  <si>
    <t>PHAARU</t>
  </si>
  <si>
    <t>POLHYD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</si>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</sst>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OCHA_03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41885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8.5</v>
      </c>
      <c r="M5" s="52"/>
      <c r="N5" s="53" t="s">
        <v>16</v>
      </c>
      <c r="O5" s="54">
        <v>8.571428571428571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38</v>
      </c>
      <c r="C7" s="66">
        <v>62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</v>
      </c>
      <c r="O8" s="84">
        <f>IF(ISERROR(AVERAGE(J23:J82)),"      -",AVERAGE(J23:J82))</f>
        <v>1.6875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0.81</v>
      </c>
      <c r="C9" s="87">
        <v>0.76</v>
      </c>
      <c r="D9" s="88"/>
      <c r="E9" s="88"/>
      <c r="F9" s="89">
        <f>($B9*$B$7+$C9*$C$7)/100</f>
        <v>0.779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3.24037034920393</v>
      </c>
      <c r="O9" s="84">
        <f>IF(ISERROR(STDEVP(J23:J82)),"      -",STDEVP(J23:J82))</f>
        <v>0.6817945071647321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</v>
      </c>
      <c r="C12" s="120">
        <v>0.38</v>
      </c>
      <c r="D12" s="111"/>
      <c r="E12" s="111"/>
      <c r="F12" s="112">
        <f>($B12*$B$7+$C12*$C$7)/100</f>
        <v>0.23559999999999998</v>
      </c>
      <c r="G12" s="121"/>
      <c r="H12" s="67"/>
      <c r="I12" s="122" t="s">
        <v>39</v>
      </c>
      <c r="J12" s="123"/>
      <c r="K12" s="116">
        <f>COUNTIF($G$23:$G$82,"=ALG")</f>
        <v>7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0.27</v>
      </c>
      <c r="C13" s="120">
        <v>0.12</v>
      </c>
      <c r="D13" s="111"/>
      <c r="E13" s="111"/>
      <c r="F13" s="112">
        <f>($B13*$B$7+$C13*$C$7)/100</f>
        <v>0.17700000000000002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16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16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0.54</v>
      </c>
      <c r="C15" s="139">
        <v>0.26</v>
      </c>
      <c r="D15" s="111"/>
      <c r="E15" s="111"/>
      <c r="F15" s="112">
        <f>($B15*$B$7+$C15*$C$7)/100</f>
        <v>0.3664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4</v>
      </c>
      <c r="L15" s="117"/>
      <c r="M15" s="140" t="s">
        <v>48</v>
      </c>
      <c r="N15" s="141">
        <f>COUNTIF(J23:J82,"=1")</f>
        <v>7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7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0.27</v>
      </c>
      <c r="C17" s="120">
        <v>0.5</v>
      </c>
      <c r="D17" s="111"/>
      <c r="E17" s="111"/>
      <c r="F17" s="147"/>
      <c r="G17" s="112">
        <f>($B17*$B$7+$C17*$C$7)/100</f>
        <v>0.4126000000000001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2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0.54</v>
      </c>
      <c r="C18" s="151">
        <v>0.26</v>
      </c>
      <c r="D18" s="111"/>
      <c r="E18" s="152" t="s">
        <v>54</v>
      </c>
      <c r="F18" s="147"/>
      <c r="G18" s="112">
        <f>($B18*$B$7+$C18*$C$7)/100</f>
        <v>0.3664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0.7789999999999999</v>
      </c>
      <c r="G19" s="161">
        <f>SUM(G16:G18)</f>
        <v>0.7790000000000001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0.8108108108108109</v>
      </c>
      <c r="C20" s="171">
        <f>SUM(C23:C82)</f>
        <v>0.7559579349904396</v>
      </c>
      <c r="D20" s="172"/>
      <c r="E20" s="173" t="s">
        <v>54</v>
      </c>
      <c r="F20" s="174">
        <f>($B20*$B$7+$C20*$C$7)/100</f>
        <v>0.7768020278021807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0.3081081081081081</v>
      </c>
      <c r="C21" s="184">
        <f>C20*C7/100</f>
        <v>0.46869391969407254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0.7768020278021807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</v>
      </c>
      <c r="C23" s="212">
        <v>0.294133843212237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0.18236298279158697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0.18236298279158697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0.0005124282982791586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0.00031770554493307837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0.00031770554493307837</v>
      </c>
      <c r="R24" s="222">
        <f t="shared" si="2"/>
        <v>1</v>
      </c>
      <c r="S24" s="222">
        <f t="shared" si="3"/>
        <v>12</v>
      </c>
      <c r="T24" s="222">
        <f t="shared" si="4"/>
        <v>24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</v>
      </c>
      <c r="C25" s="230">
        <v>0.014091778202676862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1" t="e">
        <f>IF(D25="",,VLOOKUP(D25,D$22:D24,1,0))</f>
        <v>#N/A</v>
      </c>
      <c r="F25" s="232">
        <f t="shared" si="0"/>
        <v>0.008736902485659654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 t="shared" si="1"/>
        <v>0.008736902485659654</v>
      </c>
      <c r="R25" s="222">
        <f t="shared" si="2"/>
        <v>1</v>
      </c>
      <c r="S25" s="222">
        <f t="shared" si="3"/>
        <v>6</v>
      </c>
      <c r="T25" s="222">
        <f t="shared" si="4"/>
        <v>12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</v>
      </c>
      <c r="C26" s="230">
        <v>0.047143403441682594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0"/>
        <v>0.029228910133843208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1"/>
        <v>0.029228910133843208</v>
      </c>
      <c r="R26" s="222">
        <f t="shared" si="2"/>
        <v>1</v>
      </c>
      <c r="S26" s="222">
        <f t="shared" si="3"/>
        <v>13</v>
      </c>
      <c r="T26" s="222">
        <f t="shared" si="4"/>
        <v>26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</v>
      </c>
      <c r="C27" s="230">
        <v>0.005124282982791587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1" t="e">
        <f>IF(D27="",,VLOOKUP(D27,D$22:D26,1,0))</f>
        <v>#N/A</v>
      </c>
      <c r="F27" s="232">
        <f t="shared" si="0"/>
        <v>0.003177055449330784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1">
        <f t="shared" si="1"/>
        <v>0.003177055449330784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0.0025621414913957934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31" t="e">
        <f>IF(D28="",,VLOOKUP(D28,D$22:D27,1,0))</f>
        <v>#N/A</v>
      </c>
      <c r="F28" s="232">
        <f t="shared" si="0"/>
        <v>0.001588527724665392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21">
        <f t="shared" si="1"/>
        <v>0.001588527724665392</v>
      </c>
      <c r="R28" s="222">
        <f t="shared" si="2"/>
        <v>1</v>
      </c>
      <c r="S28" s="222">
        <f t="shared" si="3"/>
        <v>10</v>
      </c>
      <c r="T28" s="222">
        <f t="shared" si="4"/>
        <v>10</v>
      </c>
      <c r="U28" s="234">
        <f t="shared" si="5"/>
        <v>1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ULOSPX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81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0</v>
      </c>
      <c r="C29" s="230">
        <v>0.005124282982791587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Vaucheria sp.</v>
      </c>
      <c r="E29" s="231" t="e">
        <f>IF(D29="",,VLOOKUP(D29,D$22:D28,1,0))</f>
        <v>#N/A</v>
      </c>
      <c r="F29" s="232">
        <f t="shared" si="0"/>
        <v>0.003177055449330784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4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Vaucheria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21">
        <f t="shared" si="1"/>
        <v>0.003177055449330784</v>
      </c>
      <c r="R29" s="222">
        <f t="shared" si="2"/>
        <v>1</v>
      </c>
      <c r="S29" s="222">
        <f t="shared" si="3"/>
        <v>4</v>
      </c>
      <c r="T29" s="222">
        <f t="shared" si="4"/>
        <v>4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VAUSPX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0.13513513513513514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danubicus</v>
      </c>
      <c r="E30" s="231" t="e">
        <f>IF(D30="",,VLOOKUP(D30,D$22:D29,1,0))</f>
        <v>#N/A</v>
      </c>
      <c r="F30" s="232">
        <f t="shared" si="0"/>
        <v>0.051351351351351354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danubicus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1319</v>
      </c>
      <c r="Q30" s="221">
        <f t="shared" si="1"/>
        <v>0.051351351351351354</v>
      </c>
      <c r="R30" s="222">
        <f t="shared" si="2"/>
        <v>1</v>
      </c>
      <c r="S30" s="222">
        <f t="shared" si="3"/>
        <v>13</v>
      </c>
      <c r="T30" s="222">
        <f t="shared" si="4"/>
        <v>39</v>
      </c>
      <c r="U30" s="234">
        <f t="shared" si="5"/>
        <v>3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CINDAN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0</v>
      </c>
      <c r="C31" s="230">
        <v>0.10504780114722753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Cinclidotus riparius</v>
      </c>
      <c r="E31" s="231" t="e">
        <f>IF(D31="",,VLOOKUP(D31,D$22:D30,1,0))</f>
        <v>#N/A</v>
      </c>
      <c r="F31" s="232">
        <f t="shared" si="0"/>
        <v>0.06512963671128107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13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Cinclidotus riparius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1321</v>
      </c>
      <c r="Q31" s="221">
        <f t="shared" si="1"/>
        <v>0.06512963671128107</v>
      </c>
      <c r="R31" s="222">
        <f t="shared" si="2"/>
        <v>1</v>
      </c>
      <c r="S31" s="222">
        <f t="shared" si="3"/>
        <v>13</v>
      </c>
      <c r="T31" s="222">
        <f t="shared" si="4"/>
        <v>26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CINRIP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174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88</v>
      </c>
      <c r="B32" s="229">
        <v>0.13513513513513514</v>
      </c>
      <c r="C32" s="230">
        <v>0.010248565965583174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Fontinalis antipyretica</v>
      </c>
      <c r="E32" s="231" t="e">
        <f>IF(D32="",,VLOOKUP(D32,D$22:D31,1,0))</f>
        <v>#N/A</v>
      </c>
      <c r="F32" s="232">
        <f t="shared" si="0"/>
        <v>0.05770546225001292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Fontinalis antipyretica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1310</v>
      </c>
      <c r="Q32" s="221">
        <f t="shared" si="1"/>
        <v>0.057705462250012926</v>
      </c>
      <c r="R32" s="222">
        <f t="shared" si="2"/>
        <v>1</v>
      </c>
      <c r="S32" s="222">
        <f t="shared" si="3"/>
        <v>10</v>
      </c>
      <c r="T32" s="222">
        <f t="shared" si="4"/>
        <v>10</v>
      </c>
      <c r="U32" s="234">
        <f t="shared" si="5"/>
        <v>1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FONANT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210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89</v>
      </c>
      <c r="B33" s="229">
        <v>0</v>
      </c>
      <c r="C33" s="230">
        <v>0.005124282982791587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Octodiceras fontanum</v>
      </c>
      <c r="E33" s="231" t="e">
        <f>IF(D33="",,VLOOKUP(D33,D$22:D32,1,0))</f>
        <v>#N/A</v>
      </c>
      <c r="F33" s="232">
        <f t="shared" si="0"/>
        <v>0.003177055449330784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7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Octodiceras fontanum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1303</v>
      </c>
      <c r="Q33" s="221">
        <f t="shared" si="1"/>
        <v>0.003177055449330784</v>
      </c>
      <c r="R33" s="222">
        <f t="shared" si="2"/>
        <v>1</v>
      </c>
      <c r="S33" s="222">
        <f t="shared" si="3"/>
        <v>7</v>
      </c>
      <c r="T33" s="222">
        <f t="shared" si="4"/>
        <v>21</v>
      </c>
      <c r="U33" s="234">
        <f t="shared" si="5"/>
        <v>3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OCTFON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228</v>
      </c>
      <c r="AA33" s="226"/>
      <c r="AB33" s="227"/>
      <c r="AC33" s="227"/>
      <c r="BB33" s="8">
        <f t="shared" si="7"/>
        <v>1</v>
      </c>
    </row>
    <row r="34" spans="1:54" ht="12.75">
      <c r="A34" s="228" t="s">
        <v>90</v>
      </c>
      <c r="B34" s="229">
        <v>0</v>
      </c>
      <c r="C34" s="230">
        <v>0.0025621414913957934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Rhynchostegium riparioides</v>
      </c>
      <c r="E34" s="231" t="e">
        <f>IF(D34="",,VLOOKUP(D34,D$22:D33,1,0))</f>
        <v>#N/A</v>
      </c>
      <c r="F34" s="236">
        <f t="shared" si="0"/>
        <v>0.001588527724665392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12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Rhynchostegium riparioides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1268</v>
      </c>
      <c r="Q34" s="221">
        <f t="shared" si="1"/>
        <v>0.001588527724665392</v>
      </c>
      <c r="R34" s="222">
        <f t="shared" si="2"/>
        <v>1</v>
      </c>
      <c r="S34" s="222">
        <f t="shared" si="3"/>
        <v>12</v>
      </c>
      <c r="T34" s="222">
        <f t="shared" si="4"/>
        <v>12</v>
      </c>
      <c r="U34" s="234">
        <f t="shared" si="5"/>
        <v>1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RHYRIP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252</v>
      </c>
      <c r="AA34" s="226"/>
      <c r="AB34" s="227"/>
      <c r="AC34" s="227"/>
      <c r="BB34" s="8">
        <f t="shared" si="7"/>
        <v>1</v>
      </c>
    </row>
    <row r="35" spans="1:54" ht="12.75">
      <c r="A35" s="228" t="s">
        <v>16</v>
      </c>
      <c r="B35" s="229">
        <v>0.13513513513513514</v>
      </c>
      <c r="C35" s="230">
        <v>0.08638623326959845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Myriophyllum spicatum</v>
      </c>
      <c r="E35" s="231" t="e">
        <f>IF(D35="",,VLOOKUP(D35,D$22:D34,1,0))</f>
        <v>#N/A</v>
      </c>
      <c r="F35" s="236">
        <f t="shared" si="0"/>
        <v>0.1049108159785024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8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Myriophyllum spicatum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1778</v>
      </c>
      <c r="Q35" s="221">
        <f t="shared" si="1"/>
        <v>0.1049108159785024</v>
      </c>
      <c r="R35" s="222">
        <f t="shared" si="2"/>
        <v>2</v>
      </c>
      <c r="S35" s="222">
        <f t="shared" si="3"/>
        <v>16</v>
      </c>
      <c r="T35" s="222">
        <f t="shared" si="4"/>
        <v>32</v>
      </c>
      <c r="U35" s="234">
        <f t="shared" si="5"/>
        <v>4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MYRSPI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373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91</v>
      </c>
      <c r="B36" s="229">
        <v>0.40540540540540543</v>
      </c>
      <c r="C36" s="230">
        <v>0.16764818355640532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Potamogeton pectinatus</v>
      </c>
      <c r="E36" s="231" t="e">
        <f>IF(D36="",,VLOOKUP(D36,D$22:D35,1,0))</f>
        <v>#N/A</v>
      </c>
      <c r="F36" s="236">
        <f t="shared" si="0"/>
        <v>0.25799592785902536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2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Potamogeton pectinatus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1655</v>
      </c>
      <c r="Q36" s="221">
        <f t="shared" si="1"/>
        <v>0.25799592785902536</v>
      </c>
      <c r="R36" s="222">
        <f t="shared" si="2"/>
        <v>2</v>
      </c>
      <c r="S36" s="222">
        <f t="shared" si="3"/>
        <v>4</v>
      </c>
      <c r="T36" s="222">
        <f t="shared" si="4"/>
        <v>8</v>
      </c>
      <c r="U36" s="234">
        <f t="shared" si="5"/>
        <v>4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POTPEC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421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92</v>
      </c>
      <c r="B37" s="229">
        <v>0</v>
      </c>
      <c r="C37" s="230">
        <v>0.005124282982791587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Phalaris arundinacea</v>
      </c>
      <c r="E37" s="231" t="e">
        <f>IF(D37="",,VLOOKUP(D37,D$22:D36,1,0))</f>
        <v>#N/A</v>
      </c>
      <c r="F37" s="236">
        <f t="shared" si="0"/>
        <v>0.003177055449330784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10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Phalaris arundinacea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1577</v>
      </c>
      <c r="Q37" s="221">
        <f t="shared" si="1"/>
        <v>0.003177055449330784</v>
      </c>
      <c r="R37" s="222">
        <f t="shared" si="2"/>
        <v>1</v>
      </c>
      <c r="S37" s="222">
        <f t="shared" si="3"/>
        <v>10</v>
      </c>
      <c r="T37" s="222">
        <f t="shared" si="4"/>
        <v>10</v>
      </c>
      <c r="U37" s="234">
        <f t="shared" si="5"/>
        <v>1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PHAARU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634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93</v>
      </c>
      <c r="B38" s="229">
        <v>0</v>
      </c>
      <c r="C38" s="230">
        <v>0.005124282982791587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Polygonum hydropiper</v>
      </c>
      <c r="E38" s="231" t="e">
        <f>IF(D38="",,VLOOKUP(D38,D$22:D37,1,0))</f>
        <v>#N/A</v>
      </c>
      <c r="F38" s="236">
        <f t="shared" si="0"/>
        <v>0.003177055449330784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8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Polygonum hydropiper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1865</v>
      </c>
      <c r="Q38" s="221">
        <f t="shared" si="1"/>
        <v>0.003177055449330784</v>
      </c>
      <c r="R38" s="222">
        <f t="shared" si="2"/>
        <v>1</v>
      </c>
      <c r="S38" s="222">
        <f t="shared" si="3"/>
        <v>8</v>
      </c>
      <c r="T38" s="222">
        <f t="shared" si="4"/>
        <v>16</v>
      </c>
      <c r="U38" s="234">
        <f t="shared" si="5"/>
        <v>2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POLHYD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637</v>
      </c>
      <c r="AA38" s="226"/>
      <c r="AB38" s="227"/>
      <c r="AC38" s="227"/>
      <c r="BB38" s="8">
        <f t="shared" si="7"/>
        <v>1</v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RHONE</v>
      </c>
      <c r="B84" s="265" t="str">
        <f>C3</f>
        <v>RHONE A CHASSE SUR RHONE </v>
      </c>
      <c r="C84" s="266">
        <f>A4</f>
        <v>41885</v>
      </c>
      <c r="D84" s="267">
        <f>IF(ISERROR(SUM($T$23:$T$82)/SUM($U$23:$U$82)),"",SUM($T$23:$T$82)/SUM($U$23:$U$82))</f>
        <v>8.5</v>
      </c>
      <c r="E84" s="268">
        <f>N13</f>
        <v>16</v>
      </c>
      <c r="F84" s="265">
        <f>N14</f>
        <v>16</v>
      </c>
      <c r="G84" s="265">
        <f>N15</f>
        <v>7</v>
      </c>
      <c r="H84" s="265">
        <f>N16</f>
        <v>7</v>
      </c>
      <c r="I84" s="265">
        <f>N17</f>
        <v>2</v>
      </c>
      <c r="J84" s="269">
        <f>N8</f>
        <v>9</v>
      </c>
      <c r="K84" s="267">
        <f>N9</f>
        <v>3.24037034920393</v>
      </c>
      <c r="L84" s="268">
        <f>N10</f>
        <v>2</v>
      </c>
      <c r="M84" s="268">
        <f>N11</f>
        <v>13</v>
      </c>
      <c r="N84" s="267">
        <f>O8</f>
        <v>1.6875</v>
      </c>
      <c r="O84" s="267">
        <f>O9</f>
        <v>0.6817945071647321</v>
      </c>
      <c r="P84" s="268">
        <f>O10</f>
        <v>1</v>
      </c>
      <c r="Q84" s="268">
        <f>O11</f>
        <v>3</v>
      </c>
      <c r="R84" s="268">
        <f>F21</f>
        <v>0.7768020278021807</v>
      </c>
      <c r="S84" s="268">
        <f>K11</f>
        <v>0</v>
      </c>
      <c r="T84" s="268">
        <f>K12</f>
        <v>7</v>
      </c>
      <c r="U84" s="268">
        <f>K13</f>
        <v>5</v>
      </c>
      <c r="V84" s="270">
        <f>K14</f>
        <v>0</v>
      </c>
      <c r="W84" s="271">
        <f>K15</f>
        <v>4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95</v>
      </c>
      <c r="R86" s="8"/>
      <c r="S86" s="223"/>
      <c r="T86" s="8"/>
      <c r="U86" s="8"/>
      <c r="V86" s="8"/>
    </row>
    <row r="87" spans="16:22" ht="12.75" hidden="1">
      <c r="P87" s="8"/>
      <c r="Q87" s="8" t="s">
        <v>96</v>
      </c>
      <c r="R87" s="8"/>
      <c r="S87" s="223">
        <f>VLOOKUP(MAX($S$23:$S$82),($S$23:$U$82),1,0)</f>
        <v>16</v>
      </c>
      <c r="T87" s="8"/>
      <c r="U87" s="8"/>
      <c r="V87" s="8"/>
    </row>
    <row r="88" spans="16:22" ht="12.75" hidden="1">
      <c r="P88" s="8"/>
      <c r="Q88" s="8" t="s">
        <v>97</v>
      </c>
      <c r="R88" s="8"/>
      <c r="S88" s="223">
        <f>VLOOKUP((S87),($S$23:$U$82),2,0)</f>
        <v>32</v>
      </c>
      <c r="T88" s="8"/>
      <c r="U88" s="8"/>
      <c r="V88" s="8"/>
    </row>
    <row r="89" spans="17:20" ht="12.75" hidden="1">
      <c r="Q89" s="8" t="s">
        <v>98</v>
      </c>
      <c r="R89" s="8"/>
      <c r="S89" s="223">
        <f>VLOOKUP((S87),($S$23:$U$82),3,0)</f>
        <v>4</v>
      </c>
      <c r="T89" s="8"/>
    </row>
    <row r="90" spans="17:20" ht="12.75">
      <c r="Q90" s="8" t="s">
        <v>99</v>
      </c>
      <c r="R90" s="8"/>
      <c r="S90" s="274">
        <f>IF(ISERROR(SUM($T$23:$T$82)/SUM($U$23:$U$82)),"",(SUM($T$23:$T$82)-S88)/(SUM($U$23:$U$82)-S89))</f>
        <v>8.571428571428571</v>
      </c>
      <c r="T90" s="8"/>
    </row>
    <row r="91" spans="17:21" ht="12.75">
      <c r="Q91" s="222" t="s">
        <v>100</v>
      </c>
      <c r="R91" s="222"/>
      <c r="S91" s="222" t="str">
        <f>INDEX('[1]liste reference'!$A$8:$A$904,$T$91)</f>
        <v>MYRSPI</v>
      </c>
      <c r="T91" s="8">
        <f>IF(ISERROR(MATCH($S$93,'[1]liste reference'!$A$8:$A$904,0)),MATCH($S$93,'[1]liste reference'!$B$8:$B$904,0),(MATCH($S$93,'[1]liste reference'!$A$8:$A$904,0)))</f>
        <v>373</v>
      </c>
      <c r="U91" s="263"/>
    </row>
    <row r="92" spans="17:20" ht="12.75">
      <c r="Q92" s="8" t="s">
        <v>101</v>
      </c>
      <c r="R92" s="8"/>
      <c r="S92" s="8">
        <f>MATCH(S87,$S$23:$S$82,0)</f>
        <v>13</v>
      </c>
      <c r="T92" s="8"/>
    </row>
    <row r="93" spans="17:20" ht="12.75">
      <c r="Q93" s="222" t="s">
        <v>102</v>
      </c>
      <c r="R93" s="8"/>
      <c r="S93" s="222" t="str">
        <f>INDEX($A$23:$A$82,$S$92)</f>
        <v>MYRSPI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2015-04-17T13:26:19Z</dcterms:created>
  <dcterms:modified xsi:type="dcterms:W3CDTF">2015-04-17T13:26:27Z</dcterms:modified>
  <cp:category/>
  <cp:version/>
  <cp:contentType/>
  <cp:contentStatus/>
</cp:coreProperties>
</file>