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<sst xmlns="http://schemas.openxmlformats.org/spreadsheetml/2006/main" count="219" uniqueCount="116">
  <si>
    <t>Relevés floristiques aquatiques - IBMR</t>
  </si>
  <si>
    <t xml:space="preserve">Formulaire modèle GIS Macrophytes v 3.3 - novembre 2013  </t>
  </si>
  <si>
    <t>SAGE ENVIRONNEMENT</t>
  </si>
  <si>
    <t>L.ISEBE P.BELLY</t>
  </si>
  <si>
    <t>conforme AFNOR T90-395 oct. 2003</t>
  </si>
  <si>
    <t>RHONE</t>
  </si>
  <si>
    <t>RHONE A SERRIERES</t>
  </si>
  <si>
    <t>06100900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</si>
  <si>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</si>
  <si>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</si>
  <si>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</si>
  <si>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</si>
  <si>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</si>
  <si>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</si>
  <si>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</si>
  <si>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</si>
  <si>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</si>
  <si>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</si>
  <si>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chenal lotique</t>
  </si>
  <si>
    <t>plat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</si>
  <si>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</si>
  <si>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</si>
  <si>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</si>
  <si>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</si>
  <si>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</si>
  <si>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</si>
  <si>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</si>
  <si>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</si>
  <si>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</si>
  <si>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</si>
  <si>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</si>
  <si>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</si>
  <si>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</si>
  <si>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</si>
  <si>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</si>
  <si>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</si>
  <si>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</si>
  <si>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</si>
  <si>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</si>
  <si>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</si>
  <si>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</si>
  <si>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</si>
  <si>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</si>
  <si>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</si>
  <si>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</si>
  <si>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</si>
  <si>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</si>
  <si>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</si>
  <si>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</si>
  <si>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</si>
  <si>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</si>
  <si>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</si>
  <si>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</si>
  <si>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</si>
  <si>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</si>
  <si>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</si>
  <si>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</si>
  <si>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</si>
  <si>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</si>
  <si>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</si>
  <si>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</si>
  <si>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</si>
  <si>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</si>
  <si>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</si>
  <si>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</si>
  <si>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</si>
  <si>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</si>
  <si>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</si>
  <si>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</si>
  <si>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</si>
  <si>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</si>
  <si>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</si>
  <si>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</si>
  <si>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</si>
  <si>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</si>
  <si>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</si>
  <si>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</si>
  <si>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</si>
  <si>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</si>
  <si>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</si>
  <si>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HYISPX</t>
  </si>
  <si>
    <t>MOUSPX</t>
  </si>
  <si>
    <t>OEDSPX</t>
  </si>
  <si>
    <t>PHOSPX</t>
  </si>
  <si>
    <t>SPISPX</t>
  </si>
  <si>
    <t>CALPLA</t>
  </si>
  <si>
    <t>CERDEM</t>
  </si>
  <si>
    <t>CERSUB</t>
  </si>
  <si>
    <t>EGEDEN</t>
  </si>
  <si>
    <t>ELONUT</t>
  </si>
  <si>
    <t>LEMMIN</t>
  </si>
  <si>
    <t>NAJMAR</t>
  </si>
  <si>
    <t>NUPLUT</t>
  </si>
  <si>
    <t>POTNOD</t>
  </si>
  <si>
    <t>POTPEC</t>
  </si>
  <si>
    <t>POTPER</t>
  </si>
  <si>
    <t>SPAEML</t>
  </si>
  <si>
    <t>SPRPOL</t>
  </si>
  <si>
    <t>CARSPX</t>
  </si>
  <si>
    <t>IRIPSE</t>
  </si>
  <si>
    <t>LYTSAL</t>
  </si>
  <si>
    <t>PHAARU</t>
  </si>
  <si>
    <t>PHRAUS</t>
  </si>
  <si>
    <t>POLHYD</t>
  </si>
  <si>
    <t>REYJAP</t>
  </si>
  <si>
    <t>TYPLAT</t>
  </si>
  <si>
    <t>BIDSPX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</si>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</sst>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SER_02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24" sqref="X2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41884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6.8431372549019605</v>
      </c>
      <c r="M5" s="52"/>
      <c r="N5" s="53" t="s">
        <v>16</v>
      </c>
      <c r="O5" s="54">
        <v>6.74468085106383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46</v>
      </c>
      <c r="C7" s="66">
        <v>54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7.666666666666667</v>
      </c>
      <c r="O8" s="84">
        <f>IF(ISERROR(AVERAGE(J23:J82)),"      -",AVERAGE(J23:J82))</f>
        <v>1.75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28.86</v>
      </c>
      <c r="C9" s="87">
        <v>100</v>
      </c>
      <c r="D9" s="88"/>
      <c r="E9" s="88"/>
      <c r="F9" s="89">
        <f>($B9*$B$7+$C9*$C$7)/100</f>
        <v>67.2756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2.8382310609877335</v>
      </c>
      <c r="O9" s="84">
        <f>IF(ISERROR(STDEVP(J23:J82)),"      -",STDEVP(J23:J82))</f>
        <v>0.6614378277661477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0.21</v>
      </c>
      <c r="C12" s="120">
        <v>24.66</v>
      </c>
      <c r="D12" s="111"/>
      <c r="E12" s="111"/>
      <c r="F12" s="112">
        <f>($B12*$B$7+$C12*$C$7)/100</f>
        <v>13.413000000000002</v>
      </c>
      <c r="G12" s="121"/>
      <c r="H12" s="67"/>
      <c r="I12" s="122" t="s">
        <v>39</v>
      </c>
      <c r="J12" s="123"/>
      <c r="K12" s="116">
        <f>COUNTIF($G$23:$G$82,"=ALG")</f>
        <v>6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/>
      <c r="D13" s="111"/>
      <c r="E13" s="111"/>
      <c r="F13" s="112">
        <f>($B13*$B$7+$C13*$C$7)/100</f>
        <v>0</v>
      </c>
      <c r="G13" s="121"/>
      <c r="H13" s="67"/>
      <c r="I13" s="129" t="s">
        <v>41</v>
      </c>
      <c r="J13" s="123"/>
      <c r="K13" s="116">
        <f>COUNTIF($G$23:$G$82,"=BRm")+COUNTIF($G$23:$G$82,"=BRh")</f>
        <v>0</v>
      </c>
      <c r="L13" s="117"/>
      <c r="M13" s="130" t="s">
        <v>42</v>
      </c>
      <c r="N13" s="131">
        <f>COUNTIF(F23:F82,"&gt;0")</f>
        <v>29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24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28.65</v>
      </c>
      <c r="C15" s="139">
        <v>75.99</v>
      </c>
      <c r="D15" s="111"/>
      <c r="E15" s="111"/>
      <c r="F15" s="112">
        <f>($B15*$B$7+$C15*$C$7)/100</f>
        <v>54.2136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23</v>
      </c>
      <c r="L15" s="117"/>
      <c r="M15" s="140" t="s">
        <v>48</v>
      </c>
      <c r="N15" s="141">
        <f>COUNTIF(J23:J82,"=1")</f>
        <v>9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>
        <v>0.21</v>
      </c>
      <c r="C16" s="110">
        <v>24.66</v>
      </c>
      <c r="D16" s="143"/>
      <c r="E16" s="143"/>
      <c r="F16" s="144"/>
      <c r="G16" s="144">
        <f>($B16*$B$7+$C16*$C$7)/100</f>
        <v>13.413000000000002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12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28.65</v>
      </c>
      <c r="C17" s="120">
        <v>75.89</v>
      </c>
      <c r="D17" s="111"/>
      <c r="E17" s="111"/>
      <c r="F17" s="147"/>
      <c r="G17" s="112">
        <f>($B17*$B$7+$C17*$C$7)/100</f>
        <v>54.1596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3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0.1</v>
      </c>
      <c r="D18" s="111"/>
      <c r="E18" s="152" t="s">
        <v>54</v>
      </c>
      <c r="F18" s="147"/>
      <c r="G18" s="112">
        <f>($B18*$B$7+$C18*$C$7)/100</f>
        <v>0.054000000000000006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67.6266</v>
      </c>
      <c r="G19" s="161">
        <f>SUM(G16:G18)</f>
        <v>67.6266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30.111111111111114</v>
      </c>
      <c r="C20" s="171">
        <f>SUM(C23:C82)</f>
        <v>99.7144743276284</v>
      </c>
      <c r="D20" s="172"/>
      <c r="E20" s="173" t="s">
        <v>54</v>
      </c>
      <c r="F20" s="174">
        <f>($B20*$B$7+$C20*$C$7)/100</f>
        <v>67.69692724803045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13.851111111111113</v>
      </c>
      <c r="C21" s="184">
        <f>C20*C7/100</f>
        <v>53.84581613691933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67.69692724803045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0.1111111111111111</v>
      </c>
      <c r="C23" s="212">
        <v>5.344963325183373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2.937391306710132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2.9373913067101323</v>
      </c>
      <c r="R23" s="222">
        <f aca="true" t="shared" si="2" ref="R23:R82">IF(OR(ISTEXT(H23),Q23=0),"",IF(Q23&lt;0.1,1,IF(Q23&lt;1,2,IF(Q23&lt;10,3,IF(Q23&lt;50,4,IF(Q23&gt;=50,5,""))))))</f>
        <v>3</v>
      </c>
      <c r="S23" s="222">
        <f aca="true" t="shared" si="3" ref="S23:S82">IF(ISERROR(R23*I23),0,R23*I23)</f>
        <v>18</v>
      </c>
      <c r="T23" s="222">
        <f aca="true" t="shared" si="4" ref="T23:T82">IF(ISERROR(R23*I23*J23),0,R23*I23*J23)</f>
        <v>18</v>
      </c>
      <c r="U23" s="222">
        <f aca="true" t="shared" si="5" ref="U23:U82">IF(ISERROR(R23*J23),0,R23*J23)</f>
        <v>3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</v>
      </c>
      <c r="C24" s="230">
        <v>7.823716381418091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Hydrodictyon sp.</v>
      </c>
      <c r="E24" s="231" t="e">
        <f>IF(D24="",,VLOOKUP(D24,D$22:D23,1,0))</f>
        <v>#N/A</v>
      </c>
      <c r="F24" s="232">
        <f t="shared" si="0"/>
        <v>4.2248068459657695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Hydrodictyon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5686</v>
      </c>
      <c r="Q24" s="221">
        <f t="shared" si="1"/>
        <v>4.2248068459657695</v>
      </c>
      <c r="R24" s="222">
        <f t="shared" si="2"/>
        <v>3</v>
      </c>
      <c r="S24" s="222">
        <f t="shared" si="3"/>
        <v>18</v>
      </c>
      <c r="T24" s="222">
        <f t="shared" si="4"/>
        <v>36</v>
      </c>
      <c r="U24" s="234">
        <f t="shared" si="5"/>
        <v>6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HYISPX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32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</v>
      </c>
      <c r="C25" s="230">
        <v>0.7633007334963323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Mougeotia sp.</v>
      </c>
      <c r="E25" s="231" t="e">
        <f>IF(D25="",,VLOOKUP(D25,D$22:D24,1,0))</f>
        <v>#N/A</v>
      </c>
      <c r="F25" s="232">
        <f t="shared" si="0"/>
        <v>0.41218239608801943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Mougeotia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1146</v>
      </c>
      <c r="Q25" s="221">
        <f t="shared" si="1"/>
        <v>0.41218239608801943</v>
      </c>
      <c r="R25" s="222">
        <f t="shared" si="2"/>
        <v>2</v>
      </c>
      <c r="S25" s="222">
        <f t="shared" si="3"/>
        <v>26</v>
      </c>
      <c r="T25" s="222">
        <f t="shared" si="4"/>
        <v>52</v>
      </c>
      <c r="U25" s="234">
        <f t="shared" si="5"/>
        <v>4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MOUSPX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43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0.1111111111111111</v>
      </c>
      <c r="C26" s="230">
        <v>3.6248655256723707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Oedogonium sp.</v>
      </c>
      <c r="E26" s="231" t="e">
        <f>IF(D26="",,VLOOKUP(D26,D$22:D25,1,0))</f>
        <v>#N/A</v>
      </c>
      <c r="F26" s="232">
        <f t="shared" si="0"/>
        <v>2.008538494974191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6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Oedogonium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1134</v>
      </c>
      <c r="Q26" s="221">
        <f t="shared" si="1"/>
        <v>2.008538494974191</v>
      </c>
      <c r="R26" s="222">
        <f t="shared" si="2"/>
        <v>3</v>
      </c>
      <c r="S26" s="222">
        <f t="shared" si="3"/>
        <v>18</v>
      </c>
      <c r="T26" s="222">
        <f t="shared" si="4"/>
        <v>36</v>
      </c>
      <c r="U26" s="234">
        <f t="shared" si="5"/>
        <v>6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OEDSPX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55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</v>
      </c>
      <c r="C27" s="230">
        <v>0.9535452322738384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31" t="e">
        <f>IF(D27="",,VLOOKUP(D27,D$22:D26,1,0))</f>
        <v>#N/A</v>
      </c>
      <c r="F27" s="232">
        <f t="shared" si="0"/>
        <v>0.5149144254278727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1">
        <f t="shared" si="1"/>
        <v>0.5149144254278727</v>
      </c>
      <c r="R27" s="222">
        <f t="shared" si="2"/>
        <v>2</v>
      </c>
      <c r="S27" s="222">
        <f t="shared" si="3"/>
        <v>26</v>
      </c>
      <c r="T27" s="222">
        <f t="shared" si="4"/>
        <v>52</v>
      </c>
      <c r="U27" s="234">
        <f t="shared" si="5"/>
        <v>4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</v>
      </c>
      <c r="C28" s="230">
        <v>5.245427872860635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Spirogyra sp.</v>
      </c>
      <c r="E28" s="231" t="e">
        <f>IF(D28="",,VLOOKUP(D28,D$22:D27,1,0))</f>
        <v>#N/A</v>
      </c>
      <c r="F28" s="232">
        <f t="shared" si="0"/>
        <v>2.8325310513447426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Spirogyra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1147</v>
      </c>
      <c r="Q28" s="221">
        <f t="shared" si="1"/>
        <v>2.8325310513447426</v>
      </c>
      <c r="R28" s="222">
        <f t="shared" si="2"/>
        <v>3</v>
      </c>
      <c r="S28" s="222">
        <f t="shared" si="3"/>
        <v>30</v>
      </c>
      <c r="T28" s="222">
        <f t="shared" si="4"/>
        <v>30</v>
      </c>
      <c r="U28" s="234">
        <f t="shared" si="5"/>
        <v>3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SPISPX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69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85</v>
      </c>
      <c r="B29" s="229">
        <v>0</v>
      </c>
      <c r="C29" s="230">
        <v>0.09535452322738384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Callitriche platycarpa</v>
      </c>
      <c r="E29" s="231" t="e">
        <f>IF(D29="",,VLOOKUP(D29,D$22:D28,1,0))</f>
        <v>#N/A</v>
      </c>
      <c r="F29" s="232">
        <f t="shared" si="0"/>
        <v>0.05149144254278728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Callitriche platycarpa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1702</v>
      </c>
      <c r="Q29" s="221">
        <f t="shared" si="1"/>
        <v>0.05149144254278728</v>
      </c>
      <c r="R29" s="222">
        <f t="shared" si="2"/>
        <v>1</v>
      </c>
      <c r="S29" s="222">
        <f t="shared" si="3"/>
        <v>10</v>
      </c>
      <c r="T29" s="222">
        <f t="shared" si="4"/>
        <v>10</v>
      </c>
      <c r="U29" s="234">
        <f t="shared" si="5"/>
        <v>1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CALPLA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322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86</v>
      </c>
      <c r="B30" s="229">
        <v>3.111111111111111</v>
      </c>
      <c r="C30" s="230">
        <v>15.303178484107576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Ceratophyllum demersum</v>
      </c>
      <c r="E30" s="231" t="e">
        <f>IF(D30="",,VLOOKUP(D30,D$22:D29,1,0))</f>
        <v>#N/A</v>
      </c>
      <c r="F30" s="232">
        <f t="shared" si="0"/>
        <v>9.694827492529203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Ceratophyllum demersum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1717</v>
      </c>
      <c r="Q30" s="221">
        <f t="shared" si="1"/>
        <v>9.694827492529203</v>
      </c>
      <c r="R30" s="222">
        <f t="shared" si="2"/>
        <v>3</v>
      </c>
      <c r="S30" s="222">
        <f t="shared" si="3"/>
        <v>15</v>
      </c>
      <c r="T30" s="222">
        <f t="shared" si="4"/>
        <v>30</v>
      </c>
      <c r="U30" s="234">
        <f t="shared" si="5"/>
        <v>6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CERDEM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330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87</v>
      </c>
      <c r="B31" s="229">
        <v>0</v>
      </c>
      <c r="C31" s="230">
        <v>0.572127139364303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Ceratophyllum submersum</v>
      </c>
      <c r="E31" s="231" t="e">
        <f>IF(D31="",,VLOOKUP(D31,D$22:D30,1,0))</f>
        <v>#N/A</v>
      </c>
      <c r="F31" s="232">
        <f t="shared" si="0"/>
        <v>0.30894865525672366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3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Ceratophyllum submersum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1718</v>
      </c>
      <c r="Q31" s="221">
        <f t="shared" si="1"/>
        <v>0.30894865525672366</v>
      </c>
      <c r="R31" s="222">
        <f t="shared" si="2"/>
        <v>2</v>
      </c>
      <c r="S31" s="222">
        <f t="shared" si="3"/>
        <v>4</v>
      </c>
      <c r="T31" s="222">
        <f t="shared" si="4"/>
        <v>12</v>
      </c>
      <c r="U31" s="234">
        <f t="shared" si="5"/>
        <v>6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CERSUB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336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88</v>
      </c>
      <c r="B32" s="229">
        <v>0.5555555555555556</v>
      </c>
      <c r="C32" s="230">
        <v>0.09535452322738384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Egeria densa</v>
      </c>
      <c r="E32" s="231" t="e">
        <f>IF(D32="",,VLOOKUP(D32,D$22:D31,1,0))</f>
        <v>#N/A</v>
      </c>
      <c r="F32" s="232">
        <f t="shared" si="0"/>
        <v>0.30704699809834285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Egeria densa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19626</v>
      </c>
      <c r="Q32" s="221">
        <f t="shared" si="1"/>
        <v>0.30704699809834285</v>
      </c>
      <c r="R32" s="222">
        <f t="shared" si="2"/>
        <v>2</v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EGEDEN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337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89</v>
      </c>
      <c r="B33" s="229">
        <v>0.5555555555555556</v>
      </c>
      <c r="C33" s="230">
        <v>1.3354278728606352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Elodea nuttalii</v>
      </c>
      <c r="E33" s="231" t="e">
        <f>IF(D33="",,VLOOKUP(D33,D$22:D32,1,0))</f>
        <v>#N/A</v>
      </c>
      <c r="F33" s="232">
        <f t="shared" si="0"/>
        <v>0.9766866069002986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8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Elodea nuttalii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1588</v>
      </c>
      <c r="Q33" s="221">
        <f t="shared" si="1"/>
        <v>0.9766866069002986</v>
      </c>
      <c r="R33" s="222">
        <f t="shared" si="2"/>
        <v>2</v>
      </c>
      <c r="S33" s="222">
        <f t="shared" si="3"/>
        <v>16</v>
      </c>
      <c r="T33" s="222">
        <f t="shared" si="4"/>
        <v>32</v>
      </c>
      <c r="U33" s="234">
        <f t="shared" si="5"/>
        <v>4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ELONUT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343</v>
      </c>
      <c r="AA33" s="226"/>
      <c r="AB33" s="227"/>
      <c r="AC33" s="227"/>
      <c r="BB33" s="8">
        <f t="shared" si="7"/>
        <v>1</v>
      </c>
    </row>
    <row r="34" spans="1:54" ht="12.75">
      <c r="A34" s="228" t="s">
        <v>90</v>
      </c>
      <c r="B34" s="229">
        <v>0</v>
      </c>
      <c r="C34" s="230">
        <v>7.4841075794621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Lemna minor</v>
      </c>
      <c r="E34" s="231" t="e">
        <f>IF(D34="",,VLOOKUP(D34,D$22:D33,1,0))</f>
        <v>#N/A</v>
      </c>
      <c r="F34" s="236">
        <f t="shared" si="0"/>
        <v>4.0414180929095345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Lemna minor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1626</v>
      </c>
      <c r="Q34" s="221">
        <f t="shared" si="1"/>
        <v>4.0414180929095345</v>
      </c>
      <c r="R34" s="222">
        <f t="shared" si="2"/>
        <v>3</v>
      </c>
      <c r="S34" s="222">
        <f t="shared" si="3"/>
        <v>30</v>
      </c>
      <c r="T34" s="222">
        <f t="shared" si="4"/>
        <v>30</v>
      </c>
      <c r="U34" s="234">
        <f t="shared" si="5"/>
        <v>3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LEMMIN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357</v>
      </c>
      <c r="AA34" s="226"/>
      <c r="AB34" s="227"/>
      <c r="AC34" s="227"/>
      <c r="BB34" s="8">
        <f t="shared" si="7"/>
        <v>1</v>
      </c>
    </row>
    <row r="35" spans="1:54" ht="12.75">
      <c r="A35" s="228" t="s">
        <v>16</v>
      </c>
      <c r="B35" s="229">
        <v>11.444444444444445</v>
      </c>
      <c r="C35" s="230">
        <v>13.872860635696819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Myriophyllum spicatum</v>
      </c>
      <c r="E35" s="231" t="e">
        <f>IF(D35="",,VLOOKUP(D35,D$22:D34,1,0))</f>
        <v>#N/A</v>
      </c>
      <c r="F35" s="236">
        <f t="shared" si="0"/>
        <v>12.755789187720728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8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Myriophyllum spicatum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1778</v>
      </c>
      <c r="Q35" s="221">
        <f t="shared" si="1"/>
        <v>12.755789187720728</v>
      </c>
      <c r="R35" s="222">
        <f t="shared" si="2"/>
        <v>4</v>
      </c>
      <c r="S35" s="222">
        <f t="shared" si="3"/>
        <v>32</v>
      </c>
      <c r="T35" s="222">
        <f t="shared" si="4"/>
        <v>64</v>
      </c>
      <c r="U35" s="234">
        <f t="shared" si="5"/>
        <v>8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MYRSPI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373</v>
      </c>
      <c r="AA35" s="226"/>
      <c r="AB35" s="227"/>
      <c r="AC35" s="227"/>
      <c r="BB35" s="8">
        <f t="shared" si="7"/>
        <v>1</v>
      </c>
    </row>
    <row r="36" spans="1:54" ht="12.75">
      <c r="A36" s="228" t="s">
        <v>91</v>
      </c>
      <c r="B36" s="229">
        <v>1.7777777777777777</v>
      </c>
      <c r="C36" s="230">
        <v>6.8655256723716365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Najas marina</v>
      </c>
      <c r="E36" s="231" t="e">
        <f>IF(D36="",,VLOOKUP(D36,D$22:D35,1,0))</f>
        <v>#N/A</v>
      </c>
      <c r="F36" s="236">
        <f t="shared" si="0"/>
        <v>4.525161640858461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5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3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Najas marina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1835</v>
      </c>
      <c r="Q36" s="221">
        <f t="shared" si="1"/>
        <v>4.525161640858461</v>
      </c>
      <c r="R36" s="222">
        <f t="shared" si="2"/>
        <v>3</v>
      </c>
      <c r="S36" s="222">
        <f t="shared" si="3"/>
        <v>15</v>
      </c>
      <c r="T36" s="222">
        <f t="shared" si="4"/>
        <v>45</v>
      </c>
      <c r="U36" s="234">
        <f t="shared" si="5"/>
        <v>9</v>
      </c>
      <c r="V36" s="223">
        <f t="shared" si="6"/>
      </c>
      <c r="W36" s="224" t="s">
        <v>55</v>
      </c>
      <c r="Y36" s="225" t="str">
        <f>IF(A36="new.cod","NEWCOD",IF(AND((Z36=""),ISTEXT(A36)),A36,IF(Z36="","",INDEX('[1]liste reference'!$A$8:$A$904,Z36))))</f>
        <v>NAJMAR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379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92</v>
      </c>
      <c r="B37" s="229">
        <v>0</v>
      </c>
      <c r="C37" s="230">
        <v>0.00046454767726161365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Nuphar lutea</v>
      </c>
      <c r="E37" s="231" t="e">
        <f>IF(D37="",,VLOOKUP(D37,D$22:D36,1,0))</f>
        <v>#N/A</v>
      </c>
      <c r="F37" s="236">
        <f t="shared" si="0"/>
        <v>0.0002508557457212714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PHy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7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9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1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Nuphar lutea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1839</v>
      </c>
      <c r="Q37" s="221">
        <f t="shared" si="1"/>
        <v>0.0002508557457212714</v>
      </c>
      <c r="R37" s="222">
        <f t="shared" si="2"/>
        <v>1</v>
      </c>
      <c r="S37" s="222">
        <f t="shared" si="3"/>
        <v>9</v>
      </c>
      <c r="T37" s="222">
        <f t="shared" si="4"/>
        <v>9</v>
      </c>
      <c r="U37" s="234">
        <f t="shared" si="5"/>
        <v>1</v>
      </c>
      <c r="V37" s="223">
        <f t="shared" si="6"/>
      </c>
      <c r="W37" s="224" t="s">
        <v>55</v>
      </c>
      <c r="Y37" s="225" t="str">
        <f>IF(A37="new.cod","NEWCOD",IF(AND((Z37=""),ISTEXT(A37)),A37,IF(Z37="","",INDEX('[1]liste reference'!$A$8:$A$904,Z37))))</f>
        <v>NUPLUT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389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93</v>
      </c>
      <c r="B38" s="229">
        <v>3.444444444444445</v>
      </c>
      <c r="C38" s="230">
        <v>4.574572127139363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Potamogeton nodosus</v>
      </c>
      <c r="E38" s="231" t="e">
        <f>IF(D38="",,VLOOKUP(D38,D$22:D37,1,0))</f>
        <v>#N/A</v>
      </c>
      <c r="F38" s="236">
        <f t="shared" si="0"/>
        <v>4.054713393099701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PHy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7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4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3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Potamogeton nodosus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1652</v>
      </c>
      <c r="Q38" s="221">
        <f t="shared" si="1"/>
        <v>4.054713393099701</v>
      </c>
      <c r="R38" s="222">
        <f t="shared" si="2"/>
        <v>3</v>
      </c>
      <c r="S38" s="222">
        <f t="shared" si="3"/>
        <v>12</v>
      </c>
      <c r="T38" s="222">
        <f t="shared" si="4"/>
        <v>36</v>
      </c>
      <c r="U38" s="234">
        <f t="shared" si="5"/>
        <v>9</v>
      </c>
      <c r="V38" s="223">
        <f t="shared" si="6"/>
      </c>
      <c r="W38" s="224" t="s">
        <v>55</v>
      </c>
      <c r="Y38" s="225" t="str">
        <f>IF(A38="new.cod","NEWCOD",IF(AND((Z38=""),ISTEXT(A38)),A38,IF(Z38="","",INDEX('[1]liste reference'!$A$8:$A$904,Z38))))</f>
        <v>POTNOD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418</v>
      </c>
      <c r="AA38" s="226"/>
      <c r="AB38" s="227"/>
      <c r="AC38" s="227"/>
      <c r="BB38" s="8">
        <f t="shared" si="7"/>
        <v>1</v>
      </c>
    </row>
    <row r="39" spans="1:54" ht="12.75">
      <c r="A39" s="228" t="s">
        <v>94</v>
      </c>
      <c r="B39" s="229">
        <v>0.5555555555555556</v>
      </c>
      <c r="C39" s="230">
        <v>0.2865281173594132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Potamogeton pectinatus</v>
      </c>
      <c r="E39" s="231" t="e">
        <f>IF(D39="",,VLOOKUP(D39,D$22:D38,1,0))</f>
        <v>#N/A</v>
      </c>
      <c r="F39" s="236">
        <f t="shared" si="0"/>
        <v>0.4102807389296387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PHy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7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2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2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Potamogeton pectinatus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1655</v>
      </c>
      <c r="Q39" s="221">
        <f t="shared" si="1"/>
        <v>0.4102807389296387</v>
      </c>
      <c r="R39" s="222">
        <f t="shared" si="2"/>
        <v>2</v>
      </c>
      <c r="S39" s="222">
        <f t="shared" si="3"/>
        <v>4</v>
      </c>
      <c r="T39" s="222">
        <f t="shared" si="4"/>
        <v>8</v>
      </c>
      <c r="U39" s="234">
        <f t="shared" si="5"/>
        <v>4</v>
      </c>
      <c r="V39" s="223">
        <f t="shared" si="6"/>
      </c>
      <c r="W39" s="224" t="s">
        <v>55</v>
      </c>
      <c r="Y39" s="225" t="str">
        <f>IF(A39="new.cod","NEWCOD",IF(AND((Z39=""),ISTEXT(A39)),A39,IF(Z39="","",INDEX('[1]liste reference'!$A$8:$A$904,Z39))))</f>
        <v>POTPEC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421</v>
      </c>
      <c r="AA39" s="226"/>
      <c r="AB39" s="227"/>
      <c r="AC39" s="227"/>
      <c r="BB39" s="8">
        <f t="shared" si="7"/>
        <v>1</v>
      </c>
    </row>
    <row r="40" spans="1:54" ht="12.75">
      <c r="A40" s="228" t="s">
        <v>95</v>
      </c>
      <c r="B40" s="229">
        <v>1.1111111111111112</v>
      </c>
      <c r="C40" s="230">
        <v>6.102689486552566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Potamogeton perfoliatus</v>
      </c>
      <c r="E40" s="231" t="e">
        <f>IF(D40="",,VLOOKUP(D40,D$22:D39,1,0))</f>
        <v>#N/A</v>
      </c>
      <c r="F40" s="236">
        <f t="shared" si="0"/>
        <v>3.8065634338494965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PHy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7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9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2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Potamogeton perfoliatus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1656</v>
      </c>
      <c r="Q40" s="221">
        <f t="shared" si="1"/>
        <v>3.806563433849497</v>
      </c>
      <c r="R40" s="222">
        <f t="shared" si="2"/>
        <v>3</v>
      </c>
      <c r="S40" s="222">
        <f t="shared" si="3"/>
        <v>27</v>
      </c>
      <c r="T40" s="222">
        <f t="shared" si="4"/>
        <v>54</v>
      </c>
      <c r="U40" s="234">
        <f t="shared" si="5"/>
        <v>6</v>
      </c>
      <c r="V40" s="223">
        <f t="shared" si="6"/>
      </c>
      <c r="W40" s="224" t="s">
        <v>55</v>
      </c>
      <c r="Y40" s="225" t="str">
        <f>IF(A40="new.cod","NEWCOD",IF(AND((Z40=""),ISTEXT(A40)),A40,IF(Z40="","",INDEX('[1]liste reference'!$A$8:$A$904,Z40))))</f>
        <v>POTPER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422</v>
      </c>
      <c r="AA40" s="226"/>
      <c r="AB40" s="227"/>
      <c r="AC40" s="227"/>
      <c r="BB40" s="8">
        <f t="shared" si="7"/>
        <v>1</v>
      </c>
    </row>
    <row r="41" spans="1:54" ht="12.75">
      <c r="A41" s="228" t="s">
        <v>96</v>
      </c>
      <c r="B41" s="229">
        <v>7.333333333333333</v>
      </c>
      <c r="C41" s="230">
        <v>14.158924205378971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Sparganium emersum fo. Longissimum</v>
      </c>
      <c r="E41" s="231" t="e">
        <f>IF(D41="",,VLOOKUP(D41,D$22:D40,1,0))</f>
        <v>#N/A</v>
      </c>
      <c r="F41" s="236">
        <f t="shared" si="0"/>
        <v>11.019152404237978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PHy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7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7</v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1</v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Sparganium emersum fo. Longissimum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19695</v>
      </c>
      <c r="Q41" s="221">
        <f t="shared" si="1"/>
        <v>11.019152404237978</v>
      </c>
      <c r="R41" s="222">
        <f t="shared" si="2"/>
        <v>4</v>
      </c>
      <c r="S41" s="222">
        <f t="shared" si="3"/>
        <v>28</v>
      </c>
      <c r="T41" s="222">
        <f t="shared" si="4"/>
        <v>28</v>
      </c>
      <c r="U41" s="234">
        <f t="shared" si="5"/>
        <v>4</v>
      </c>
      <c r="V41" s="223">
        <f t="shared" si="6"/>
      </c>
      <c r="W41" s="224" t="s">
        <v>55</v>
      </c>
      <c r="Y41" s="225" t="str">
        <f>IF(A41="new.cod","NEWCOD",IF(AND((Z41=""),ISTEXT(A41)),A41,IF(Z41="","",INDEX('[1]liste reference'!$A$8:$A$904,Z41))))</f>
        <v>SPAEML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482</v>
      </c>
      <c r="AA41" s="226"/>
      <c r="AB41" s="227"/>
      <c r="AC41" s="227"/>
      <c r="BB41" s="8">
        <f t="shared" si="7"/>
        <v>1</v>
      </c>
    </row>
    <row r="42" spans="1:54" ht="12.75">
      <c r="A42" s="228" t="s">
        <v>97</v>
      </c>
      <c r="B42" s="229">
        <v>0</v>
      </c>
      <c r="C42" s="230">
        <v>4.743276283618581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Spirodela polyrhiza</v>
      </c>
      <c r="E42" s="231" t="e">
        <f>IF(D42="",,VLOOKUP(D42,D$22:D41,1,0))</f>
        <v>#N/A</v>
      </c>
      <c r="F42" s="236">
        <f t="shared" si="0"/>
        <v>2.5613691931540337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PHy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7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  <v>6</v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  <v>2</v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Spirodela polyrhiza</v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1630</v>
      </c>
      <c r="Q42" s="221">
        <f t="shared" si="1"/>
        <v>2.5613691931540337</v>
      </c>
      <c r="R42" s="222">
        <f t="shared" si="2"/>
        <v>3</v>
      </c>
      <c r="S42" s="222">
        <f t="shared" si="3"/>
        <v>18</v>
      </c>
      <c r="T42" s="222">
        <f t="shared" si="4"/>
        <v>36</v>
      </c>
      <c r="U42" s="234">
        <f t="shared" si="5"/>
        <v>6</v>
      </c>
      <c r="V42" s="223">
        <f t="shared" si="6"/>
      </c>
      <c r="W42" s="224" t="s">
        <v>55</v>
      </c>
      <c r="Y42" s="225" t="str">
        <f>IF(A42="new.cod","NEWCOD",IF(AND((Z42=""),ISTEXT(A42)),A42,IF(Z42="","",INDEX('[1]liste reference'!$A$8:$A$904,Z42))))</f>
        <v>SPRPOL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485</v>
      </c>
      <c r="AA42" s="226"/>
      <c r="AB42" s="227"/>
      <c r="AC42" s="227"/>
      <c r="BB42" s="8">
        <f t="shared" si="7"/>
        <v>1</v>
      </c>
    </row>
    <row r="43" spans="1:54" ht="12.75">
      <c r="A43" s="228" t="s">
        <v>98</v>
      </c>
      <c r="B43" s="229">
        <v>0</v>
      </c>
      <c r="C43" s="230">
        <v>0.00046454767726161365</v>
      </c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>Carex sp.</v>
      </c>
      <c r="E43" s="231" t="e">
        <f>IF(D43="",,VLOOKUP(D43,D$22:D42,1,0))</f>
        <v>#N/A</v>
      </c>
      <c r="F43" s="236">
        <f t="shared" si="0"/>
        <v>0.0002508557457212714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PHe</v>
      </c>
      <c r="H43" s="216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8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Carex sp.</v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1466</v>
      </c>
      <c r="Q43" s="221">
        <f t="shared" si="1"/>
        <v>0.0002508557457212714</v>
      </c>
      <c r="R43" s="222">
        <f t="shared" si="2"/>
        <v>1</v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 t="str">
        <f>IF(A43="new.cod","NEWCOD",IF(AND((Z43=""),ISTEXT(A43)),A43,IF(Z43="","",INDEX('[1]liste reference'!$A$8:$A$904,Z43))))</f>
        <v>CARSPX</v>
      </c>
      <c r="Z43" s="8">
        <f>IF(ISERROR(MATCH(A43,'[1]liste reference'!$A$8:$A$904,0)),IF(ISERROR(MATCH(A43,'[1]liste reference'!$B$8:$B$904,0)),"",(MATCH(A43,'[1]liste reference'!$B$8:$B$904,0))),(MATCH(A43,'[1]liste reference'!$A$8:$A$904,0)))</f>
        <v>545</v>
      </c>
      <c r="AA43" s="226"/>
      <c r="AB43" s="227"/>
      <c r="AC43" s="227"/>
      <c r="BB43" s="8">
        <f t="shared" si="7"/>
        <v>1</v>
      </c>
    </row>
    <row r="44" spans="1:54" ht="12.75">
      <c r="A44" s="228" t="s">
        <v>99</v>
      </c>
      <c r="B44" s="229">
        <v>0</v>
      </c>
      <c r="C44" s="230">
        <v>0.00046454767726161365</v>
      </c>
      <c r="D44" s="213" t="str">
        <f>IF(ISERROR(VLOOKUP($A44,'[1]liste reference'!$A$7:$D$904,2,0)),IF(ISERROR(VLOOKUP($A44,'[1]liste reference'!$B$7:$D$904,1,0)),"",VLOOKUP($A44,'[1]liste reference'!$B$7:$D$904,1,0)),VLOOKUP($A44,'[1]liste reference'!$A$7:$D$904,2,0))</f>
        <v>Iris pseudacorus</v>
      </c>
      <c r="E44" s="231" t="e">
        <f>IF(D44="",,VLOOKUP(D44,D$22:D43,1,0))</f>
        <v>#N/A</v>
      </c>
      <c r="F44" s="236">
        <f t="shared" si="0"/>
        <v>0.0002508557457212714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PHe</v>
      </c>
      <c r="H44" s="216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8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  <v>10</v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  <v>1</v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Iris pseudacorus</v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1601</v>
      </c>
      <c r="Q44" s="221">
        <f t="shared" si="1"/>
        <v>0.0002508557457212714</v>
      </c>
      <c r="R44" s="222">
        <f t="shared" si="2"/>
        <v>1</v>
      </c>
      <c r="S44" s="222">
        <f t="shared" si="3"/>
        <v>10</v>
      </c>
      <c r="T44" s="222">
        <f t="shared" si="4"/>
        <v>10</v>
      </c>
      <c r="U44" s="234">
        <f t="shared" si="5"/>
        <v>1</v>
      </c>
      <c r="V44" s="223">
        <f t="shared" si="6"/>
      </c>
      <c r="W44" s="224" t="s">
        <v>55</v>
      </c>
      <c r="Y44" s="225" t="str">
        <f>IF(A44="new.cod","NEWCOD",IF(AND((Z44=""),ISTEXT(A44)),A44,IF(Z44="","",INDEX('[1]liste reference'!$A$8:$A$904,Z44))))</f>
        <v>IRIPSE</v>
      </c>
      <c r="Z44" s="8">
        <f>IF(ISERROR(MATCH(A44,'[1]liste reference'!$A$8:$A$904,0)),IF(ISERROR(MATCH(A44,'[1]liste reference'!$B$8:$B$904,0)),"",(MATCH(A44,'[1]liste reference'!$B$8:$B$904,0))),(MATCH(A44,'[1]liste reference'!$A$8:$A$904,0)))</f>
        <v>582</v>
      </c>
      <c r="AA44" s="226"/>
      <c r="AB44" s="227"/>
      <c r="AC44" s="227"/>
      <c r="BB44" s="8">
        <f t="shared" si="7"/>
        <v>1</v>
      </c>
    </row>
    <row r="45" spans="1:54" ht="12.75">
      <c r="A45" s="228" t="s">
        <v>100</v>
      </c>
      <c r="B45" s="229">
        <v>0</v>
      </c>
      <c r="C45" s="230">
        <v>0.00046454767726161365</v>
      </c>
      <c r="D45" s="213" t="str">
        <f>IF(ISERROR(VLOOKUP($A45,'[1]liste reference'!$A$7:$D$904,2,0)),IF(ISERROR(VLOOKUP($A45,'[1]liste reference'!$B$7:$D$904,1,0)),"",VLOOKUP($A45,'[1]liste reference'!$B$7:$D$904,1,0)),VLOOKUP($A45,'[1]liste reference'!$A$7:$D$904,2,0))</f>
        <v>Lythrum salicaria</v>
      </c>
      <c r="E45" s="231" t="e">
        <f>IF(D45="",,VLOOKUP(D45,D$22:D44,1,0))</f>
        <v>#N/A</v>
      </c>
      <c r="F45" s="236">
        <f t="shared" si="0"/>
        <v>0.0002508557457212714</v>
      </c>
      <c r="G45" s="215" t="str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  <v>PHe</v>
      </c>
      <c r="H45" s="216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8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 t="str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>Lythrum salicaria</v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1823</v>
      </c>
      <c r="Q45" s="221">
        <f t="shared" si="1"/>
        <v>0.0002508557457212714</v>
      </c>
      <c r="R45" s="222">
        <f t="shared" si="2"/>
        <v>1</v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 t="str">
        <f>IF(A45="new.cod","NEWCOD",IF(AND((Z45=""),ISTEXT(A45)),A45,IF(Z45="","",INDEX('[1]liste reference'!$A$8:$A$904,Z45))))</f>
        <v>LYTSAL</v>
      </c>
      <c r="Z45" s="8">
        <f>IF(ISERROR(MATCH(A45,'[1]liste reference'!$A$8:$A$904,0)),IF(ISERROR(MATCH(A45,'[1]liste reference'!$B$8:$B$904,0)),"",(MATCH(A45,'[1]liste reference'!$B$8:$B$904,0))),(MATCH(A45,'[1]liste reference'!$A$8:$A$904,0)))</f>
        <v>605</v>
      </c>
      <c r="AA45" s="226"/>
      <c r="AB45" s="227"/>
      <c r="AC45" s="227"/>
      <c r="BB45" s="8">
        <f t="shared" si="7"/>
        <v>1</v>
      </c>
    </row>
    <row r="46" spans="1:54" ht="12.75">
      <c r="A46" s="228" t="s">
        <v>101</v>
      </c>
      <c r="B46" s="229">
        <v>0</v>
      </c>
      <c r="C46" s="230">
        <v>0.00046454767726161365</v>
      </c>
      <c r="D46" s="213" t="str">
        <f>IF(ISERROR(VLOOKUP($A46,'[1]liste reference'!$A$7:$D$904,2,0)),IF(ISERROR(VLOOKUP($A46,'[1]liste reference'!$B$7:$D$904,1,0)),"",VLOOKUP($A46,'[1]liste reference'!$B$7:$D$904,1,0)),VLOOKUP($A46,'[1]liste reference'!$A$7:$D$904,2,0))</f>
        <v>Phalaris arundinacea</v>
      </c>
      <c r="E46" s="231" t="e">
        <f>IF(D46="",,VLOOKUP(D46,D$22:D39,1,0))</f>
        <v>#N/A</v>
      </c>
      <c r="F46" s="236">
        <f t="shared" si="0"/>
        <v>0.0002508557457212714</v>
      </c>
      <c r="G46" s="215" t="str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  <v>PHe</v>
      </c>
      <c r="H46" s="216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8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  <v>10</v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  <v>1</v>
      </c>
      <c r="K46" s="218" t="str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>Phalaris arundinacea</v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1577</v>
      </c>
      <c r="Q46" s="221">
        <f t="shared" si="1"/>
        <v>0.0002508557457212714</v>
      </c>
      <c r="R46" s="222">
        <f t="shared" si="2"/>
        <v>1</v>
      </c>
      <c r="S46" s="222">
        <f t="shared" si="3"/>
        <v>10</v>
      </c>
      <c r="T46" s="222">
        <f t="shared" si="4"/>
        <v>10</v>
      </c>
      <c r="U46" s="234">
        <f t="shared" si="5"/>
        <v>1</v>
      </c>
      <c r="V46" s="223">
        <f t="shared" si="6"/>
      </c>
      <c r="W46" s="224" t="s">
        <v>55</v>
      </c>
      <c r="Y46" s="225" t="str">
        <f>IF(A46="new.cod","NEWCOD",IF(AND((Z46=""),ISTEXT(A46)),A46,IF(Z46="","",INDEX('[1]liste reference'!$A$8:$A$904,Z46))))</f>
        <v>PHAARU</v>
      </c>
      <c r="Z46" s="8">
        <f>IF(ISERROR(MATCH(A46,'[1]liste reference'!$A$8:$A$904,0)),IF(ISERROR(MATCH(A46,'[1]liste reference'!$B$8:$B$904,0)),"",(MATCH(A46,'[1]liste reference'!$B$8:$B$904,0))),(MATCH(A46,'[1]liste reference'!$A$8:$A$904,0)))</f>
        <v>634</v>
      </c>
      <c r="AA46" s="226"/>
      <c r="AB46" s="227"/>
      <c r="AC46" s="227"/>
      <c r="BB46" s="8">
        <f t="shared" si="7"/>
        <v>1</v>
      </c>
    </row>
    <row r="47" spans="1:54" ht="12.75">
      <c r="A47" s="228" t="s">
        <v>102</v>
      </c>
      <c r="B47" s="229">
        <v>0</v>
      </c>
      <c r="C47" s="230">
        <v>0.4645476772616136</v>
      </c>
      <c r="D47" s="213" t="str">
        <f>IF(ISERROR(VLOOKUP($A47,'[1]liste reference'!$A$7:$D$904,2,0)),IF(ISERROR(VLOOKUP($A47,'[1]liste reference'!$B$7:$D$904,1,0)),"",VLOOKUP($A47,'[1]liste reference'!$B$7:$D$904,1,0)),VLOOKUP($A47,'[1]liste reference'!$A$7:$D$904,2,0))</f>
        <v>Phragmites australis</v>
      </c>
      <c r="E47" s="231" t="e">
        <f>IF(D47="",,VLOOKUP(D47,D$22:D39,1,0))</f>
        <v>#N/A</v>
      </c>
      <c r="F47" s="236">
        <f t="shared" si="0"/>
        <v>0.25085574572127134</v>
      </c>
      <c r="G47" s="215" t="str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  <v>PHe</v>
      </c>
      <c r="H47" s="216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8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  <v>9</v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  <v>2</v>
      </c>
      <c r="K47" s="218" t="str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>Phragmites australis</v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1579</v>
      </c>
      <c r="Q47" s="221">
        <f t="shared" si="1"/>
        <v>0.25085574572127134</v>
      </c>
      <c r="R47" s="222">
        <f t="shared" si="2"/>
        <v>2</v>
      </c>
      <c r="S47" s="222">
        <f t="shared" si="3"/>
        <v>18</v>
      </c>
      <c r="T47" s="222">
        <f t="shared" si="4"/>
        <v>36</v>
      </c>
      <c r="U47" s="234">
        <f t="shared" si="5"/>
        <v>4</v>
      </c>
      <c r="V47" s="223">
        <f t="shared" si="6"/>
      </c>
      <c r="W47" s="224" t="s">
        <v>55</v>
      </c>
      <c r="Y47" s="225" t="str">
        <f>IF(A47="new.cod","NEWCOD",IF(AND((Z47=""),ISTEXT(A47)),A47,IF(Z47="","",INDEX('[1]liste reference'!$A$8:$A$904,Z47))))</f>
        <v>PHRAUS</v>
      </c>
      <c r="Z47" s="8">
        <f>IF(ISERROR(MATCH(A47,'[1]liste reference'!$A$8:$A$904,0)),IF(ISERROR(MATCH(A47,'[1]liste reference'!$B$8:$B$904,0)),"",(MATCH(A47,'[1]liste reference'!$B$8:$B$904,0))),(MATCH(A47,'[1]liste reference'!$A$8:$A$904,0)))</f>
        <v>635</v>
      </c>
      <c r="AA47" s="226"/>
      <c r="AB47" s="227"/>
      <c r="AC47" s="227"/>
      <c r="BB47" s="8">
        <f t="shared" si="7"/>
        <v>1</v>
      </c>
    </row>
    <row r="48" spans="1:54" ht="12.75">
      <c r="A48" s="228" t="s">
        <v>103</v>
      </c>
      <c r="B48" s="229">
        <v>0</v>
      </c>
      <c r="C48" s="230">
        <v>0.00046454767726161365</v>
      </c>
      <c r="D48" s="213" t="str">
        <f>IF(ISERROR(VLOOKUP($A48,'[1]liste reference'!$A$7:$D$904,2,0)),IF(ISERROR(VLOOKUP($A48,'[1]liste reference'!$B$7:$D$904,1,0)),"",VLOOKUP($A48,'[1]liste reference'!$B$7:$D$904,1,0)),VLOOKUP($A48,'[1]liste reference'!$A$7:$D$904,2,0))</f>
        <v>Polygonum hydropiper</v>
      </c>
      <c r="E48" s="231" t="e">
        <f>IF(D48="",,VLOOKUP(D48,D$22:D40,1,0))</f>
        <v>#N/A</v>
      </c>
      <c r="F48" s="236">
        <f t="shared" si="0"/>
        <v>0.0002508557457212714</v>
      </c>
      <c r="G48" s="215" t="str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  <v>PHe</v>
      </c>
      <c r="H48" s="216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8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  <v>8</v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  <v>2</v>
      </c>
      <c r="K48" s="218" t="str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  <v>Polygonum hydropiper</v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  <v>1865</v>
      </c>
      <c r="Q48" s="221">
        <f t="shared" si="1"/>
        <v>0.0002508557457212714</v>
      </c>
      <c r="R48" s="222">
        <f t="shared" si="2"/>
        <v>1</v>
      </c>
      <c r="S48" s="222">
        <f t="shared" si="3"/>
        <v>8</v>
      </c>
      <c r="T48" s="222">
        <f t="shared" si="4"/>
        <v>16</v>
      </c>
      <c r="U48" s="234">
        <f t="shared" si="5"/>
        <v>2</v>
      </c>
      <c r="V48" s="223">
        <f t="shared" si="6"/>
      </c>
      <c r="W48" s="224" t="s">
        <v>55</v>
      </c>
      <c r="Y48" s="225" t="str">
        <f>IF(A48="new.cod","NEWCOD",IF(AND((Z48=""),ISTEXT(A48)),A48,IF(Z48="","",INDEX('[1]liste reference'!$A$8:$A$904,Z48))))</f>
        <v>POLHYD</v>
      </c>
      <c r="Z48" s="8">
        <f>IF(ISERROR(MATCH(A48,'[1]liste reference'!$A$8:$A$904,0)),IF(ISERROR(MATCH(A48,'[1]liste reference'!$B$8:$B$904,0)),"",(MATCH(A48,'[1]liste reference'!$B$8:$B$904,0))),(MATCH(A48,'[1]liste reference'!$A$8:$A$904,0)))</f>
        <v>637</v>
      </c>
      <c r="AA48" s="226"/>
      <c r="AB48" s="227"/>
      <c r="AC48" s="227"/>
      <c r="BB48" s="8">
        <f t="shared" si="7"/>
        <v>1</v>
      </c>
    </row>
    <row r="49" spans="1:54" ht="12.75">
      <c r="A49" s="228" t="s">
        <v>104</v>
      </c>
      <c r="B49" s="229">
        <v>0</v>
      </c>
      <c r="C49" s="230">
        <v>0.00046454767726161365</v>
      </c>
      <c r="D49" s="213" t="str">
        <f>IF(ISERROR(VLOOKUP($A49,'[1]liste reference'!$A$7:$D$904,2,0)),IF(ISERROR(VLOOKUP($A49,'[1]liste reference'!$B$7:$D$904,1,0)),"",VLOOKUP($A49,'[1]liste reference'!$B$7:$D$904,1,0)),VLOOKUP($A49,'[1]liste reference'!$A$7:$D$904,2,0))</f>
        <v>Reynoutria japonica</v>
      </c>
      <c r="E49" s="231" t="e">
        <f>IF(D49="",,VLOOKUP(D49,D$22:D48,1,0))</f>
        <v>#N/A</v>
      </c>
      <c r="F49" s="236">
        <f t="shared" si="0"/>
        <v>0.0002508557457212714</v>
      </c>
      <c r="G49" s="215" t="str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  <v>PHe</v>
      </c>
      <c r="H49" s="216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8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 t="str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  <v>Reynoutria japonica</v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  <v>19988</v>
      </c>
      <c r="Q49" s="221">
        <f t="shared" si="1"/>
        <v>0.0002508557457212714</v>
      </c>
      <c r="R49" s="222">
        <f t="shared" si="2"/>
        <v>1</v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 t="str">
        <f>IF(A49="new.cod","NEWCOD",IF(AND((Z49=""),ISTEXT(A49)),A49,IF(Z49="","",INDEX('[1]liste reference'!$A$8:$A$904,Z49))))</f>
        <v>REYJAP</v>
      </c>
      <c r="Z49" s="8">
        <f>IF(ISERROR(MATCH(A49,'[1]liste reference'!$A$8:$A$904,0)),IF(ISERROR(MATCH(A49,'[1]liste reference'!$B$8:$B$904,0)),"",(MATCH(A49,'[1]liste reference'!$B$8:$B$904,0))),(MATCH(A49,'[1]liste reference'!$A$8:$A$904,0)))</f>
        <v>644</v>
      </c>
      <c r="AA49" s="226"/>
      <c r="AB49" s="227"/>
      <c r="AC49" s="227"/>
      <c r="BB49" s="8">
        <f t="shared" si="7"/>
        <v>1</v>
      </c>
    </row>
    <row r="50" spans="1:54" ht="12.75">
      <c r="A50" s="228" t="s">
        <v>105</v>
      </c>
      <c r="B50" s="229">
        <v>0</v>
      </c>
      <c r="C50" s="230">
        <v>0.00046454767726161365</v>
      </c>
      <c r="D50" s="213" t="str">
        <f>IF(ISERROR(VLOOKUP($A50,'[1]liste reference'!$A$7:$D$904,2,0)),IF(ISERROR(VLOOKUP($A50,'[1]liste reference'!$B$7:$D$904,1,0)),"",VLOOKUP($A50,'[1]liste reference'!$B$7:$D$904,1,0)),VLOOKUP($A50,'[1]liste reference'!$A$7:$D$904,2,0))</f>
        <v>Typha latifolia</v>
      </c>
      <c r="E50" s="231" t="e">
        <f>IF(D50="",,VLOOKUP(D50,D$22:D49,1,0))</f>
        <v>#N/A</v>
      </c>
      <c r="F50" s="236">
        <f t="shared" si="0"/>
        <v>0.0002508557457212714</v>
      </c>
      <c r="G50" s="215" t="str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  <v>PHe</v>
      </c>
      <c r="H50" s="216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8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  <v>8</v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  <v>1</v>
      </c>
      <c r="K50" s="218" t="str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  <v>Typha latifolia</v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  <v>1676</v>
      </c>
      <c r="Q50" s="221">
        <f t="shared" si="1"/>
        <v>0.0002508557457212714</v>
      </c>
      <c r="R50" s="222">
        <f t="shared" si="2"/>
        <v>1</v>
      </c>
      <c r="S50" s="222">
        <f t="shared" si="3"/>
        <v>8</v>
      </c>
      <c r="T50" s="222">
        <f t="shared" si="4"/>
        <v>8</v>
      </c>
      <c r="U50" s="234">
        <f t="shared" si="5"/>
        <v>1</v>
      </c>
      <c r="V50" s="223">
        <f t="shared" si="6"/>
      </c>
      <c r="W50" s="224" t="s">
        <v>55</v>
      </c>
      <c r="Y50" s="225" t="str">
        <f>IF(A50="new.cod","NEWCOD",IF(AND((Z50=""),ISTEXT(A50)),A50,IF(Z50="","",INDEX('[1]liste reference'!$A$8:$A$904,Z50))))</f>
        <v>TYPLAT</v>
      </c>
      <c r="Z50" s="8">
        <f>IF(ISERROR(MATCH(A50,'[1]liste reference'!$A$8:$A$904,0)),IF(ISERROR(MATCH(A50,'[1]liste reference'!$B$8:$B$904,0)),"",(MATCH(A50,'[1]liste reference'!$B$8:$B$904,0))),(MATCH(A50,'[1]liste reference'!$A$8:$A$904,0)))</f>
        <v>677</v>
      </c>
      <c r="AA50" s="226"/>
      <c r="AB50" s="227"/>
      <c r="AC50" s="227"/>
      <c r="BB50" s="8">
        <f t="shared" si="7"/>
        <v>1</v>
      </c>
    </row>
    <row r="51" spans="1:54" ht="12.75">
      <c r="A51" s="228" t="s">
        <v>106</v>
      </c>
      <c r="B51" s="229">
        <v>0</v>
      </c>
      <c r="C51" s="230">
        <v>0.00046454767726161365</v>
      </c>
      <c r="D51" s="213" t="str">
        <f>IF(ISERROR(VLOOKUP($A51,'[1]liste reference'!$A$7:$D$904,2,0)),IF(ISERROR(VLOOKUP($A51,'[1]liste reference'!$B$7:$D$904,1,0)),"",VLOOKUP($A51,'[1]liste reference'!$B$7:$D$904,1,0)),VLOOKUP($A51,'[1]liste reference'!$A$7:$D$904,2,0))</f>
        <v>Bidens sp.</v>
      </c>
      <c r="E51" s="231" t="e">
        <f>IF(D51="",,VLOOKUP(D51,D$22:D50,1,0))</f>
        <v>#N/A</v>
      </c>
      <c r="F51" s="236">
        <f t="shared" si="0"/>
        <v>0.0002508557457212714</v>
      </c>
      <c r="G51" s="215" t="str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  <v>PHg</v>
      </c>
      <c r="H51" s="216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9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 t="str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  <v>Bidens sp.</v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  <v>1724</v>
      </c>
      <c r="Q51" s="221">
        <f t="shared" si="1"/>
        <v>0.0002508557457212714</v>
      </c>
      <c r="R51" s="222">
        <f t="shared" si="2"/>
        <v>1</v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 t="str">
        <f>IF(A51="new.cod","NEWCOD",IF(AND((Z51=""),ISTEXT(A51)),A51,IF(Z51="","",INDEX('[1]liste reference'!$A$8:$A$904,Z51))))</f>
        <v>BIDSPX</v>
      </c>
      <c r="Z51" s="8">
        <f>IF(ISERROR(MATCH(A51,'[1]liste reference'!$A$8:$A$904,0)),IF(ISERROR(MATCH(A51,'[1]liste reference'!$B$8:$B$904,0)),"",(MATCH(A51,'[1]liste reference'!$B$8:$B$904,0))),(MATCH(A51,'[1]liste reference'!$A$8:$A$904,0)))</f>
        <v>703</v>
      </c>
      <c r="AA51" s="226"/>
      <c r="AB51" s="227"/>
      <c r="AC51" s="227"/>
      <c r="BB51" s="8">
        <f t="shared" si="7"/>
        <v>1</v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107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RHONE</v>
      </c>
      <c r="B84" s="265" t="str">
        <f>C3</f>
        <v>RHONE A SERRIERES</v>
      </c>
      <c r="C84" s="266">
        <f>A4</f>
        <v>41884</v>
      </c>
      <c r="D84" s="267">
        <f>IF(ISERROR(SUM($T$23:$T$82)/SUM($U$23:$U$82)),"",SUM($T$23:$T$82)/SUM($U$23:$U$82))</f>
        <v>6.8431372549019605</v>
      </c>
      <c r="E84" s="268">
        <f>N13</f>
        <v>29</v>
      </c>
      <c r="F84" s="265">
        <f>N14</f>
        <v>24</v>
      </c>
      <c r="G84" s="265">
        <f>N15</f>
        <v>9</v>
      </c>
      <c r="H84" s="265">
        <f>N16</f>
        <v>12</v>
      </c>
      <c r="I84" s="265">
        <f>N17</f>
        <v>3</v>
      </c>
      <c r="J84" s="269">
        <f>N8</f>
        <v>7.666666666666667</v>
      </c>
      <c r="K84" s="267">
        <f>N9</f>
        <v>2.8382310609877335</v>
      </c>
      <c r="L84" s="268">
        <f>N10</f>
        <v>2</v>
      </c>
      <c r="M84" s="268">
        <f>N11</f>
        <v>13</v>
      </c>
      <c r="N84" s="267">
        <f>O8</f>
        <v>1.75</v>
      </c>
      <c r="O84" s="267">
        <f>O9</f>
        <v>0.6614378277661477</v>
      </c>
      <c r="P84" s="268">
        <f>O10</f>
        <v>1</v>
      </c>
      <c r="Q84" s="268">
        <f>O11</f>
        <v>3</v>
      </c>
      <c r="R84" s="268">
        <f>F21</f>
        <v>67.69692724803045</v>
      </c>
      <c r="S84" s="268">
        <f>K11</f>
        <v>0</v>
      </c>
      <c r="T84" s="268">
        <f>K12</f>
        <v>6</v>
      </c>
      <c r="U84" s="268">
        <f>K13</f>
        <v>0</v>
      </c>
      <c r="V84" s="270">
        <f>K14</f>
        <v>0</v>
      </c>
      <c r="W84" s="271">
        <f>K15</f>
        <v>23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108</v>
      </c>
      <c r="R86" s="8"/>
      <c r="S86" s="223"/>
      <c r="T86" s="8"/>
      <c r="U86" s="8"/>
      <c r="V86" s="8"/>
    </row>
    <row r="87" spans="16:22" ht="12.75" hidden="1">
      <c r="P87" s="8"/>
      <c r="Q87" s="8" t="s">
        <v>109</v>
      </c>
      <c r="R87" s="8"/>
      <c r="S87" s="223">
        <f>VLOOKUP(MAX($S$23:$S$82),($S$23:$U$82),1,0)</f>
        <v>32</v>
      </c>
      <c r="T87" s="8"/>
      <c r="U87" s="8"/>
      <c r="V87" s="8"/>
    </row>
    <row r="88" spans="16:22" ht="12.75" hidden="1">
      <c r="P88" s="8"/>
      <c r="Q88" s="8" t="s">
        <v>110</v>
      </c>
      <c r="R88" s="8"/>
      <c r="S88" s="223">
        <f>VLOOKUP((S87),($S$23:$U$82),2,0)</f>
        <v>64</v>
      </c>
      <c r="T88" s="8"/>
      <c r="U88" s="8"/>
      <c r="V88" s="8"/>
    </row>
    <row r="89" spans="17:20" ht="12.75" hidden="1">
      <c r="Q89" s="8" t="s">
        <v>111</v>
      </c>
      <c r="R89" s="8"/>
      <c r="S89" s="223">
        <f>VLOOKUP((S87),($S$23:$U$82),3,0)</f>
        <v>8</v>
      </c>
      <c r="T89" s="8"/>
    </row>
    <row r="90" spans="17:20" ht="12.75">
      <c r="Q90" s="8" t="s">
        <v>112</v>
      </c>
      <c r="R90" s="8"/>
      <c r="S90" s="274">
        <f>IF(ISERROR(SUM($T$23:$T$82)/SUM($U$23:$U$82)),"",(SUM($T$23:$T$82)-S88)/(SUM($U$23:$U$82)-S89))</f>
        <v>6.74468085106383</v>
      </c>
      <c r="T90" s="8"/>
    </row>
    <row r="91" spans="17:21" ht="12.75">
      <c r="Q91" s="222" t="s">
        <v>113</v>
      </c>
      <c r="R91" s="222"/>
      <c r="S91" s="222" t="str">
        <f>INDEX('[1]liste reference'!$A$8:$A$904,$T$91)</f>
        <v>MYRSPI</v>
      </c>
      <c r="T91" s="8">
        <f>IF(ISERROR(MATCH($S$93,'[1]liste reference'!$A$8:$A$904,0)),MATCH($S$93,'[1]liste reference'!$B$8:$B$904,0),(MATCH($S$93,'[1]liste reference'!$A$8:$A$904,0)))</f>
        <v>373</v>
      </c>
      <c r="U91" s="263"/>
    </row>
    <row r="92" spans="17:20" ht="12.75">
      <c r="Q92" s="8" t="s">
        <v>114</v>
      </c>
      <c r="R92" s="8"/>
      <c r="S92" s="8">
        <f>MATCH(S87,$S$23:$S$82,0)</f>
        <v>13</v>
      </c>
      <c r="T92" s="8"/>
    </row>
    <row r="93" spans="17:20" ht="12.75">
      <c r="Q93" s="222" t="s">
        <v>115</v>
      </c>
      <c r="R93" s="8"/>
      <c r="S93" s="222" t="str">
        <f>INDEX($A$23:$A$82,$S$92)</f>
        <v>MYRSPI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2015-04-24T11:58:02Z</dcterms:created>
  <dcterms:modified xsi:type="dcterms:W3CDTF">2015-04-24T11:58:09Z</dcterms:modified>
  <cp:category/>
  <cp:version/>
  <cp:contentType/>
  <cp:contentStatus/>
</cp:coreProperties>
</file>