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<sst xmlns="http://schemas.openxmlformats.org/spreadsheetml/2006/main" count="98" uniqueCount="95">
  <si>
    <t xml:space="preserve">Relevés floristiques aquatiques - IBMR</t>
  </si>
  <si>
    <t xml:space="preserve">Formulaire modèle GIS Macrophytes v_2.6 - février 2012</t>
  </si>
  <si>
    <t xml:space="preserve">SAGE</t>
  </si>
  <si>
    <t xml:space="preserve">Laurent Bourgoin  Simon Renahy</t>
  </si>
  <si>
    <t xml:space="preserve">conforme AFNOR T90-395 oct. 2003</t>
  </si>
  <si>
    <t xml:space="preserve">Cance</t>
  </si>
  <si>
    <t xml:space="preserve">CANVO</t>
  </si>
  <si>
    <t xml:space="preserve">06101905</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</si>
  <si>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</si>
  <si>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</si>
  <si>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</si>
  <si>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</si>
  <si>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</si>
  <si>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</si>
  <si>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</si>
  <si>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</si>
  <si>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</si>
  <si>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</si>
  <si>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</si>
  <si>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</si>
  <si>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</si>
  <si>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</si>
  <si>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</si>
  <si>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</si>
  <si>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</si>
  <si>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</si>
  <si>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</si>
  <si>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</si>
  <si>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</si>
  <si>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</si>
  <si>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</si>
  <si>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</si>
  <si>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</si>
  <si>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</si>
  <si>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</si>
  <si>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</si>
  <si>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</si>
  <si>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</si>
  <si>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</si>
  <si>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</si>
  <si>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</si>
  <si>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</si>
  <si>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</si>
  <si>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</si>
  <si>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</si>
  <si>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</si>
  <si>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</si>
  <si>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</si>
  <si>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</si>
  <si>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</si>
  <si>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</si>
  <si>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</si>
  <si>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</si>
  <si>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</si>
  <si>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</si>
  <si>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</si>
  <si>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</si>
  <si>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</si>
  <si>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</si>
  <si>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</si>
  <si>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</si>
  <si>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</si>
  <si>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</si>
  <si>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</si>
  <si>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</si>
  <si>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</si>
  <si>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</si>
  <si>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</si>
  <si>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</si>
  <si>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</si>
  <si>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</si>
  <si>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</si>
  <si>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</si>
  <si>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</si>
  <si>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</si>
  <si>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</si>
  <si>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</si>
  <si>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</si>
  <si>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SCAUND</t>
  </si>
  <si>
    <t xml:space="preserve">BRARIV</t>
  </si>
  <si>
    <t xml:space="preserve">FONANT</t>
  </si>
  <si>
    <t xml:space="preserve">RHYRIP</t>
  </si>
  <si>
    <t xml:space="preserve">AGRSTO</t>
  </si>
  <si>
    <t xml:space="preserve">CAHPAL</t>
  </si>
  <si>
    <t xml:space="preserve">GLYFLU</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</si>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</sst>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CANVO_21-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41081</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14.5</v>
      </c>
      <c r="M5" s="53"/>
      <c r="N5" s="54"/>
      <c r="O5" s="55" t="n">
        <v>14.3636363636364</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13.1111111111111</v>
      </c>
      <c r="O8" s="83" t="n">
        <f aca="false">AVERAGE(J23:J82)</f>
        <v>1.66666666666667</v>
      </c>
      <c r="P8" s="84"/>
      <c r="Q8" s="10"/>
      <c r="R8" s="10"/>
      <c r="S8" s="10"/>
      <c r="T8" s="10"/>
      <c r="U8" s="10"/>
      <c r="V8" s="10"/>
      <c r="W8" s="22"/>
      <c r="X8" s="23"/>
    </row>
    <row r="9" customFormat="false" ht="13.5" hidden="false" customHeight="false" outlineLevel="0" collapsed="false">
      <c r="A9" s="43" t="s">
        <v>28</v>
      </c>
      <c r="B9" s="85" t="n">
        <v>16.63</v>
      </c>
      <c r="C9" s="86" t="n">
        <v>0.14</v>
      </c>
      <c r="D9" s="87"/>
      <c r="E9" s="87"/>
      <c r="F9" s="88" t="n">
        <f aca="false">($B9*$B$7+$C9*$C$7)/100</f>
        <v>15.8055</v>
      </c>
      <c r="G9" s="89"/>
      <c r="H9" s="90"/>
      <c r="I9" s="91"/>
      <c r="J9" s="92"/>
      <c r="K9" s="73"/>
      <c r="L9" s="93"/>
      <c r="M9" s="82" t="s">
        <v>29</v>
      </c>
      <c r="N9" s="83" t="n">
        <f aca="false">STDEV(I23:I82)</f>
        <v>2.66666666666667</v>
      </c>
      <c r="O9" s="83" t="n">
        <f aca="false">STDEV(J23:J82)</f>
        <v>0.707106781186548</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10</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17</v>
      </c>
      <c r="O11" s="105" t="n">
        <f aca="false">MAX(J23:J82)</f>
        <v>3</v>
      </c>
      <c r="P11" s="106"/>
      <c r="Q11" s="10"/>
      <c r="R11" s="10"/>
      <c r="S11" s="10"/>
      <c r="T11" s="10"/>
      <c r="U11" s="10"/>
      <c r="V11" s="10"/>
    </row>
    <row r="12" customFormat="false" ht="12.75" hidden="false" customHeight="false" outlineLevel="0" collapsed="false">
      <c r="A12" s="116" t="s">
        <v>36</v>
      </c>
      <c r="B12" s="117" t="n">
        <v>0.3</v>
      </c>
      <c r="C12" s="118"/>
      <c r="D12" s="110"/>
      <c r="E12" s="110"/>
      <c r="F12" s="111" t="n">
        <f aca="false">($B12*$B$7+$C12*$C$7)/100</f>
        <v>0.285</v>
      </c>
      <c r="G12" s="119"/>
      <c r="H12" s="68"/>
      <c r="I12" s="120" t="s">
        <v>37</v>
      </c>
      <c r="J12" s="120"/>
      <c r="K12" s="114" t="n">
        <f aca="false">COUNTIF($G$23:$G$82,"=ALG")</f>
        <v>1</v>
      </c>
      <c r="L12" s="121"/>
      <c r="M12" s="122"/>
      <c r="N12" s="123" t="s">
        <v>31</v>
      </c>
      <c r="O12" s="124"/>
      <c r="P12" s="125"/>
      <c r="Q12" s="10"/>
      <c r="R12" s="10"/>
      <c r="S12" s="10"/>
      <c r="T12" s="10"/>
      <c r="U12" s="10"/>
      <c r="V12" s="10"/>
    </row>
    <row r="13" customFormat="false" ht="12.75" hidden="false" customHeight="false" outlineLevel="0" collapsed="false">
      <c r="A13" s="116" t="s">
        <v>38</v>
      </c>
      <c r="B13" s="117" t="n">
        <v>16.33</v>
      </c>
      <c r="C13" s="118" t="n">
        <v>0.1</v>
      </c>
      <c r="D13" s="110"/>
      <c r="E13" s="110"/>
      <c r="F13" s="111" t="n">
        <f aca="false">($B13*$B$7+$C13*$C$7)/100</f>
        <v>15.5185</v>
      </c>
      <c r="G13" s="119"/>
      <c r="H13" s="68"/>
      <c r="I13" s="120" t="s">
        <v>39</v>
      </c>
      <c r="J13" s="120"/>
      <c r="K13" s="114" t="n">
        <f aca="false">COUNTIF($G$23:$G$82,"=BRm")+COUNTIF($G$23:$G$82,"=BRh")</f>
        <v>5</v>
      </c>
      <c r="L13" s="115"/>
      <c r="M13" s="126" t="s">
        <v>40</v>
      </c>
      <c r="N13" s="127" t="n">
        <f aca="false">COUNTIF(F23:F82,"&gt;0")</f>
        <v>10</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9</v>
      </c>
      <c r="O14" s="132"/>
      <c r="P14" s="129"/>
      <c r="Q14" s="10"/>
      <c r="R14" s="10"/>
      <c r="S14" s="10"/>
      <c r="T14" s="10"/>
      <c r="U14" s="10"/>
      <c r="V14" s="10"/>
    </row>
    <row r="15" customFormat="false" ht="12.75" hidden="false" customHeight="false" outlineLevel="0" collapsed="false">
      <c r="A15" s="133" t="s">
        <v>44</v>
      </c>
      <c r="B15" s="134"/>
      <c r="C15" s="135" t="n">
        <v>0.04</v>
      </c>
      <c r="D15" s="110"/>
      <c r="E15" s="110"/>
      <c r="F15" s="111" t="n">
        <f aca="false">($B15*$B$7+$C15*$C$7)/100</f>
        <v>0.002</v>
      </c>
      <c r="G15" s="119"/>
      <c r="H15" s="68"/>
      <c r="I15" s="120" t="s">
        <v>45</v>
      </c>
      <c r="J15" s="120"/>
      <c r="K15" s="114" t="n">
        <f aca="false">(COUNTIF($G$23:$G$82,"=PHy"))+(COUNTIF($G$23:$G$82,"=PHe"))+(COUNTIF($G$23:$G$82,"=PHg"))+(COUNTIF($G$23:$G$82,"=PHx"))</f>
        <v>4</v>
      </c>
      <c r="L15" s="115"/>
      <c r="M15" s="136" t="s">
        <v>46</v>
      </c>
      <c r="N15" s="137" t="n">
        <f aca="false">COUNTIF(J23:J82,"=1")</f>
        <v>4</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16.63</v>
      </c>
      <c r="C17" s="118" t="n">
        <v>0.1</v>
      </c>
      <c r="D17" s="110"/>
      <c r="E17" s="110"/>
      <c r="F17" s="142"/>
      <c r="G17" s="111" t="n">
        <f aca="false">($B17*$B$7+$C17*$C$7)/100</f>
        <v>15.8035</v>
      </c>
      <c r="H17" s="68"/>
      <c r="I17" s="120"/>
      <c r="J17" s="120"/>
      <c r="K17" s="141"/>
      <c r="L17" s="115"/>
      <c r="M17" s="136" t="s">
        <v>50</v>
      </c>
      <c r="N17" s="137" t="n">
        <f aca="false">COUNTIF(J23:J82,"=3")</f>
        <v>1</v>
      </c>
      <c r="O17" s="138"/>
      <c r="P17" s="129"/>
      <c r="Q17" s="10"/>
      <c r="R17" s="10"/>
      <c r="S17" s="10"/>
      <c r="T17" s="10"/>
      <c r="U17" s="10"/>
      <c r="V17" s="10"/>
    </row>
    <row r="18" customFormat="false" ht="12.75" hidden="false" customHeight="false" outlineLevel="0" collapsed="false">
      <c r="A18" s="143" t="s">
        <v>51</v>
      </c>
      <c r="B18" s="144"/>
      <c r="C18" s="145" t="n">
        <v>0.04</v>
      </c>
      <c r="D18" s="110"/>
      <c r="E18" s="146" t="s">
        <v>52</v>
      </c>
      <c r="F18" s="142"/>
      <c r="G18" s="111" t="n">
        <f aca="false">($B18*$B$7+$C18*$C$7)/100</f>
        <v>0.002</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15.8055</v>
      </c>
      <c r="G19" s="155" t="n">
        <f aca="false">SUM(G16:G18)</f>
        <v>15.8055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16.61</v>
      </c>
      <c r="C20" s="165" t="n">
        <f aca="false">SUM(C23:C82)</f>
        <v>0.14</v>
      </c>
      <c r="D20" s="166"/>
      <c r="E20" s="167" t="s">
        <v>52</v>
      </c>
      <c r="F20" s="168" t="n">
        <f aca="false">($B20*$B$7+$C20*$C$7)/100</f>
        <v>15.7865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15.7795</v>
      </c>
      <c r="C21" s="178" t="n">
        <f aca="false">C20*C7/100</f>
        <v>0.007</v>
      </c>
      <c r="D21" s="110" t="str">
        <f aca="false">IF(F21=0,"",IF((ABS(F21-F19))&gt;(0.2*F21),CONCATENATE(" rec. par taxa (",F21," %) supérieur à 20 % !"),""))</f>
        <v/>
      </c>
      <c r="E21" s="179" t="str">
        <f aca="false">IF(F21=0,"",IF((ABS(F21-F19))&gt;(0.2*F21),CONCATENATE("ATTENTION : écart entre rec. par grp (",F19," %) ","et",""),""))</f>
        <v/>
      </c>
      <c r="F21" s="180" t="n">
        <f aca="false">B21+C21</f>
        <v>15.7865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0.3</v>
      </c>
      <c r="C23" s="205"/>
      <c r="D23" s="206" t="str">
        <f aca="false">IF(ISERROR(VLOOKUP($A23,'[1]liste reference'!$A$7:$D$892,2,0)),IF(ISERROR(VLOOKUP($A23,'[1]liste reference'!$B$7:$D$892,1,0)),"",VLOOKUP($A23,'[1]liste reference'!$B$7:$D$892,1,0)),VLOOKUP($A23,'[1]liste reference'!$A$7:$D$892,2,0))</f>
        <v>Lemanea sp.</v>
      </c>
      <c r="E23" s="206" t="e">
        <f aca="false">IF(D23="",0,VLOOKUP(D23,D$22:D22,1,0))</f>
        <v>#N/A</v>
      </c>
      <c r="F23" s="207" t="n">
        <f aca="false">($B23*$B$7+$C23*$C$7)/100</f>
        <v>0.285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15</v>
      </c>
      <c r="J23" s="211" t="n">
        <f aca="false">IF(ISNUMBER(H23),IF(ISERROR(VLOOKUP($A23,'[1]liste reference'!$A$7:$P$892,4,0)),IF(ISERROR(VLOOKUP($A23,'[1]liste reference'!$B$7:$P$892,3,0)),"",VLOOKUP($A23,'[1]liste reference'!$B$7:$P$892,3,0)),VLOOKUP($A23,'[1]liste reference'!$A$7:$P$892,4,0)),"")</f>
        <v>2</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Lemanea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1159</v>
      </c>
      <c r="Q23" s="215" t="n">
        <f aca="false">IF(ISTEXT(H23),"",(B23*$B$7/100)+(C23*$C$7/100))</f>
        <v>0.285</v>
      </c>
      <c r="R23" s="216" t="n">
        <f aca="false">IF(OR(ISTEXT(H23),Q23=0),"",IF(Q23&lt;0.1,1,IF(Q23&lt;1,2,IF(Q23&lt;10,3,IF(Q23&lt;50,4,IF(Q23&gt;=50,5,""))))))</f>
        <v>2</v>
      </c>
      <c r="S23" s="216" t="n">
        <f aca="false">IF(ISERROR(R23*I23),0,R23*I23)</f>
        <v>30</v>
      </c>
      <c r="T23" s="216" t="n">
        <f aca="false">IF(ISERROR(R23*I23*J23),0,R23*I23*J23)</f>
        <v>60</v>
      </c>
      <c r="U23" s="216" t="n">
        <f aca="false">IF(ISERROR(R23*J23),0,R23*J23)</f>
        <v>4</v>
      </c>
      <c r="V23" s="217" t="n">
        <v>4</v>
      </c>
      <c r="W23" s="218"/>
      <c r="X23" s="218"/>
      <c r="Y23" s="219" t="str">
        <f aca="false">IF(A23="new.cod","NEWCOD",IF(AND((Z23=""),ISTEXT(A23)),A23,IF(Z23="","",INDEX('[1]liste reference'!$A$7:$A$892,Z23))))</f>
        <v>LEASPX</v>
      </c>
      <c r="Z23" s="10" t="n">
        <f aca="false">IF(ISERROR(MATCH(A23,'[1]liste reference'!$A$7:$A$892,0)),IF(ISERROR(MATCH(A23,'[1]liste reference'!$B$7:$B$892,0)),"",(MATCH(A23,'[1]liste reference'!$B$7:$B$892,0))),(MATCH(A23,'[1]liste reference'!$A$7:$A$892,0)))</f>
        <v>407</v>
      </c>
      <c r="AA23" s="220"/>
      <c r="AB23" s="221"/>
      <c r="AC23" s="221"/>
      <c r="BC23" s="10" t="n">
        <f aca="false">IF(A23="","",1)</f>
        <v>1</v>
      </c>
    </row>
    <row r="24" customFormat="false" ht="12.75" hidden="false" customHeight="false" outlineLevel="0" collapsed="false">
      <c r="A24" s="222" t="s">
        <v>77</v>
      </c>
      <c r="B24" s="223" t="n">
        <v>0.3</v>
      </c>
      <c r="C24" s="224"/>
      <c r="D24" s="225" t="str">
        <f aca="false">IF(ISERROR(VLOOKUP($A24,'[1]liste reference'!$A$7:$D$892,2,0)),IF(ISERROR(VLOOKUP($A24,'[1]liste reference'!$B$7:$D$892,1,0)),"",VLOOKUP($A24,'[1]liste reference'!$B$7:$D$892,1,0)),VLOOKUP($A24,'[1]liste reference'!$A$7:$D$892,2,0))</f>
        <v>Chiloscyphus polyanthos var. polyanthos</v>
      </c>
      <c r="E24" s="225" t="e">
        <f aca="false">IF(D24="",0,VLOOKUP(D24,D$22:D23,1,0))</f>
        <v>#N/A</v>
      </c>
      <c r="F24" s="226" t="n">
        <f aca="false">($B24*$B$7+$C24*$C$7)/100</f>
        <v>0.285</v>
      </c>
      <c r="G24" s="227" t="str">
        <f aca="false">IF(A24="","",IF(ISERROR(VLOOKUP($A24,'[1]liste reference'!$A$7:$P$892,13,0)),IF(ISERROR(VLOOKUP($A24,'[1]liste reference'!$B$7:$P$892,12,0)),"    -",VLOOKUP($A24,'[1]liste reference'!$B$7:$P$892,12,0)),VLOOKUP($A24,'[1]liste reference'!$A$7:$P$892,13,0)))</f>
        <v>BRh</v>
      </c>
      <c r="H24" s="209" t="n">
        <f aca="false">IF(A24="","x",IF(ISERROR(VLOOKUP($A24,'[1]liste reference'!$A$7:$P$892,14,0)),IF(ISERROR(VLOOKUP($A24,'[1]liste reference'!$B$7:$P$892,13,0)),"x",VLOOKUP($A24,'[1]liste reference'!$B$7:$P$892,13,0)),VLOOKUP($A24,'[1]liste reference'!$A$7:$P$892,14,0)))</f>
        <v>4</v>
      </c>
      <c r="I24" s="228" t="n">
        <f aca="false">IF(ISNUMBER(H24),IF(ISERROR(VLOOKUP($A24,'[1]liste reference'!$A$7:$P$892,3,0)),IF(ISERROR(VLOOKUP($A24,'[1]liste reference'!$B$7:$P$892,2,0)),"",VLOOKUP($A24,'[1]liste reference'!$B$7:$P$892,2,0)),VLOOKUP($A24,'[1]liste reference'!$A$7:$P$892,3,0)),"")</f>
        <v>15</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Chiloscyphus polyanthos var. polyanthos</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1186</v>
      </c>
      <c r="Q24" s="215" t="n">
        <f aca="false">IF(ISTEXT(H24),"",(B24*$B$7/100)+(C24*$C$7/100))</f>
        <v>0.285</v>
      </c>
      <c r="R24" s="216" t="n">
        <f aca="false">IF(OR(ISTEXT(H24),Q24=0),"",IF(Q24&lt;0.1,1,IF(Q24&lt;1,2,IF(Q24&lt;10,3,IF(Q24&lt;50,4,IF(Q24&gt;=50,5,""))))))</f>
        <v>2</v>
      </c>
      <c r="S24" s="216" t="n">
        <f aca="false">IF(ISERROR(R24*I24),0,R24*I24)</f>
        <v>30</v>
      </c>
      <c r="T24" s="216" t="n">
        <f aca="false">IF(ISERROR(R24*I24*J24),0,R24*I24*J24)</f>
        <v>60</v>
      </c>
      <c r="U24" s="230" t="n">
        <f aca="false">IF(ISERROR(R24*J24),0,R24*J24)</f>
        <v>4</v>
      </c>
      <c r="V24" s="217" t="n">
        <v>4</v>
      </c>
      <c r="W24" s="231"/>
      <c r="Y24" s="219" t="str">
        <f aca="false">IF(A24="new.cod","NEWCOD",IF(AND((Z24=""),ISTEXT(A24)),A24,IF(Z24="","",INDEX('[1]liste reference'!$A$7:$A$892,Z24))))</f>
        <v>CHIPOL</v>
      </c>
      <c r="Z24" s="10" t="n">
        <f aca="false">IF(ISERROR(MATCH(A24,'[1]liste reference'!$A$7:$A$892,0)),IF(ISERROR(MATCH(A24,'[1]liste reference'!$B$7:$B$892,0)),"",(MATCH(A24,'[1]liste reference'!$B$7:$B$892,0))),(MATCH(A24,'[1]liste reference'!$A$7:$A$892,0)))</f>
        <v>166</v>
      </c>
      <c r="AA24" s="220"/>
      <c r="AB24" s="221"/>
      <c r="AC24" s="221"/>
      <c r="BC24" s="10" t="n">
        <f aca="false">IF(A24="","",1)</f>
        <v>1</v>
      </c>
    </row>
    <row r="25" customFormat="false" ht="12.75" hidden="false" customHeight="false" outlineLevel="0" collapsed="false">
      <c r="A25" s="222" t="s">
        <v>78</v>
      </c>
      <c r="B25" s="223" t="n">
        <v>1</v>
      </c>
      <c r="C25" s="224" t="n">
        <v>0.1</v>
      </c>
      <c r="D25" s="225" t="str">
        <f aca="false">IF(ISERROR(VLOOKUP($A25,'[1]liste reference'!$A$7:$D$892,2,0)),IF(ISERROR(VLOOKUP($A25,'[1]liste reference'!$B$7:$D$892,1,0)),"",VLOOKUP($A25,'[1]liste reference'!$B$7:$D$892,1,0)),VLOOKUP($A25,'[1]liste reference'!$A$7:$D$892,2,0))</f>
        <v>Scapania undulata</v>
      </c>
      <c r="E25" s="225" t="e">
        <f aca="false">IF(D25="",0,VLOOKUP(D25,D$22:D24,1,0))</f>
        <v>#N/A</v>
      </c>
      <c r="F25" s="226" t="n">
        <f aca="false">($B25*$B$7+$C25*$C$7)/100</f>
        <v>0.955</v>
      </c>
      <c r="G25" s="227" t="str">
        <f aca="false">IF(A25="","",IF(ISERROR(VLOOKUP($A25,'[1]liste reference'!$A$7:$P$892,13,0)),IF(ISERROR(VLOOKUP($A25,'[1]liste reference'!$B$7:$P$892,12,0)),"    -",VLOOKUP($A25,'[1]liste reference'!$B$7:$P$892,12,0)),VLOOKUP($A25,'[1]liste reference'!$A$7:$P$892,13,0)))</f>
        <v>BRh</v>
      </c>
      <c r="H25" s="209" t="n">
        <f aca="false">IF(A25="","x",IF(ISERROR(VLOOKUP($A25,'[1]liste reference'!$A$7:$P$892,14,0)),IF(ISERROR(VLOOKUP($A25,'[1]liste reference'!$B$7:$P$892,13,0)),"x",VLOOKUP($A25,'[1]liste reference'!$B$7:$P$892,13,0)),VLOOKUP($A25,'[1]liste reference'!$A$7:$P$892,14,0)))</f>
        <v>4</v>
      </c>
      <c r="I25" s="228" t="n">
        <f aca="false">IF(ISNUMBER(H25),IF(ISERROR(VLOOKUP($A25,'[1]liste reference'!$A$7:$P$892,3,0)),IF(ISERROR(VLOOKUP($A25,'[1]liste reference'!$B$7:$P$892,2,0)),"",VLOOKUP($A25,'[1]liste reference'!$B$7:$P$892,2,0)),VLOOKUP($A25,'[1]liste reference'!$A$7:$P$892,3,0)),"")</f>
        <v>17</v>
      </c>
      <c r="J25" s="211" t="n">
        <f aca="false">IF(ISNUMBER(H25),IF(ISERROR(VLOOKUP($A25,'[1]liste reference'!$A$7:$P$892,4,0)),IF(ISERROR(VLOOKUP($A25,'[1]liste reference'!$B$7:$P$892,3,0)),"",VLOOKUP($A25,'[1]liste reference'!$B$7:$P$892,3,0)),VLOOKUP($A25,'[1]liste reference'!$A$7:$P$892,4,0)),"")</f>
        <v>3</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Scapania undulata</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1213</v>
      </c>
      <c r="Q25" s="215" t="n">
        <f aca="false">IF(ISTEXT(H25),"",(B25*$B$7/100)+(C25*$C$7/100))</f>
        <v>0.955</v>
      </c>
      <c r="R25" s="216" t="n">
        <f aca="false">IF(OR(ISTEXT(H25),Q25=0),"",IF(Q25&lt;0.1,1,IF(Q25&lt;1,2,IF(Q25&lt;10,3,IF(Q25&lt;50,4,IF(Q25&gt;=50,5,""))))))</f>
        <v>2</v>
      </c>
      <c r="S25" s="216" t="n">
        <f aca="false">IF(ISERROR(R25*I25),0,R25*I25)</f>
        <v>34</v>
      </c>
      <c r="T25" s="216" t="n">
        <f aca="false">IF(ISERROR(R25*I25*J25),0,R25*I25*J25)</f>
        <v>102</v>
      </c>
      <c r="U25" s="230" t="n">
        <f aca="false">IF(ISERROR(R25*J25),0,R25*J25)</f>
        <v>6</v>
      </c>
      <c r="V25" s="217" t="n">
        <v>6</v>
      </c>
      <c r="W25" s="218"/>
      <c r="Y25" s="219" t="str">
        <f aca="false">IF(A25="new.cod","NEWCOD",IF(AND((Z25=""),ISTEXT(A25)),A25,IF(Z25="","",INDEX('[1]liste reference'!$A$7:$A$892,Z25))))</f>
        <v>SCAUND</v>
      </c>
      <c r="Z25" s="10" t="n">
        <f aca="false">IF(ISERROR(MATCH(A25,'[1]liste reference'!$A$7:$A$892,0)),IF(ISERROR(MATCH(A25,'[1]liste reference'!$B$7:$B$892,0)),"",(MATCH(A25,'[1]liste reference'!$B$7:$B$892,0))),(MATCH(A25,'[1]liste reference'!$A$7:$A$892,0)))</f>
        <v>757</v>
      </c>
      <c r="AA25" s="220"/>
      <c r="AB25" s="221"/>
      <c r="AC25" s="221"/>
      <c r="BC25" s="10" t="n">
        <f aca="false">IF(A25="","",1)</f>
        <v>1</v>
      </c>
    </row>
    <row r="26" customFormat="false" ht="12.75" hidden="false" customHeight="false" outlineLevel="0" collapsed="false">
      <c r="A26" s="222" t="s">
        <v>79</v>
      </c>
      <c r="B26" s="223" t="n">
        <v>10</v>
      </c>
      <c r="C26" s="224"/>
      <c r="D26" s="225" t="str">
        <f aca="false">IF(ISERROR(VLOOKUP($A26,'[1]liste reference'!$A$7:$D$892,2,0)),IF(ISERROR(VLOOKUP($A26,'[1]liste reference'!$B$7:$D$892,1,0)),"",VLOOKUP($A26,'[1]liste reference'!$B$7:$D$892,1,0)),VLOOKUP($A26,'[1]liste reference'!$A$7:$D$892,2,0))</f>
        <v>Brachythecium rivulare</v>
      </c>
      <c r="E26" s="225" t="e">
        <f aca="false">IF(D26="",0,VLOOKUP(D26,D$22:D25,1,0))</f>
        <v>#N/A</v>
      </c>
      <c r="F26" s="226" t="n">
        <f aca="false">($B26*$B$7+$C26*$C$7)/100</f>
        <v>9.5</v>
      </c>
      <c r="G26" s="227" t="str">
        <f aca="false">IF(A26="","",IF(ISERROR(VLOOKUP($A26,'[1]liste reference'!$A$7:$P$892,13,0)),IF(ISERROR(VLOOKUP($A26,'[1]liste reference'!$B$7:$P$892,12,0)),"    -",VLOOKUP($A26,'[1]liste reference'!$B$7:$P$892,12,0)),VLOOKUP($A26,'[1]liste reference'!$A$7:$P$892,13,0)))</f>
        <v>BRm</v>
      </c>
      <c r="H26" s="209" t="n">
        <f aca="false">IF(A26="","x",IF(ISERROR(VLOOKUP($A26,'[1]liste reference'!$A$7:$P$892,14,0)),IF(ISERROR(VLOOKUP($A26,'[1]liste reference'!$B$7:$P$892,13,0)),"x",VLOOKUP($A26,'[1]liste reference'!$B$7:$P$892,13,0)),VLOOKUP($A26,'[1]liste reference'!$A$7:$P$892,14,0)))</f>
        <v>5</v>
      </c>
      <c r="I26" s="228" t="n">
        <f aca="false">IF(ISNUMBER(H26),IF(ISERROR(VLOOKUP($A26,'[1]liste reference'!$A$7:$P$892,3,0)),IF(ISERROR(VLOOKUP($A26,'[1]liste reference'!$B$7:$P$892,2,0)),"",VLOOKUP($A26,'[1]liste reference'!$B$7:$P$892,2,0)),VLOOKUP($A26,'[1]liste reference'!$A$7:$P$892,3,0)),"")</f>
        <v>15</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Brachythecium rivulare</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126</v>
      </c>
      <c r="Q26" s="215" t="n">
        <f aca="false">IF(ISTEXT(H26),"",(B26*$B$7/100)+(C26*$C$7/100))</f>
        <v>9.5</v>
      </c>
      <c r="R26" s="216" t="n">
        <f aca="false">IF(OR(ISTEXT(H26),Q26=0),"",IF(Q26&lt;0.1,1,IF(Q26&lt;1,2,IF(Q26&lt;10,3,IF(Q26&lt;50,4,IF(Q26&gt;=50,5,""))))))</f>
        <v>3</v>
      </c>
      <c r="S26" s="216" t="n">
        <f aca="false">IF(ISERROR(R26*I26),0,R26*I26)</f>
        <v>45</v>
      </c>
      <c r="T26" s="216" t="n">
        <f aca="false">IF(ISERROR(R26*I26*J26),0,R26*I26*J26)</f>
        <v>90</v>
      </c>
      <c r="U26" s="230" t="n">
        <f aca="false">IF(ISERROR(R26*J26),0,R26*J26)</f>
        <v>6</v>
      </c>
      <c r="V26" s="217" t="n">
        <v>6</v>
      </c>
      <c r="W26" s="218"/>
      <c r="Y26" s="219" t="str">
        <f aca="false">IF(A26="new.cod","NEWCOD",IF(AND((Z26=""),ISTEXT(A26)),A26,IF(Z26="","",INDEX('[1]liste reference'!$A$7:$A$892,Z26))))</f>
        <v>BRARIV</v>
      </c>
      <c r="Z26" s="10" t="n">
        <f aca="false">IF(ISERROR(MATCH(A26,'[1]liste reference'!$A$7:$A$892,0)),IF(ISERROR(MATCH(A26,'[1]liste reference'!$B$7:$B$892,0)),"",(MATCH(A26,'[1]liste reference'!$B$7:$B$892,0))),(MATCH(A26,'[1]liste reference'!$A$7:$A$892,0)))</f>
        <v>69</v>
      </c>
      <c r="AA26" s="220"/>
      <c r="AB26" s="221"/>
      <c r="AC26" s="221"/>
      <c r="BC26" s="10" t="n">
        <f aca="false">IF(A26="","",1)</f>
        <v>1</v>
      </c>
    </row>
    <row r="27" customFormat="false" ht="12.75" hidden="false" customHeight="false" outlineLevel="0" collapsed="false">
      <c r="A27" s="222" t="s">
        <v>80</v>
      </c>
      <c r="B27" s="223" t="n">
        <v>0.01</v>
      </c>
      <c r="C27" s="224"/>
      <c r="D27" s="225" t="str">
        <f aca="false">IF(ISERROR(VLOOKUP($A27,'[1]liste reference'!$A$7:$D$892,2,0)),IF(ISERROR(VLOOKUP($A27,'[1]liste reference'!$B$7:$D$892,1,0)),"",VLOOKUP($A27,'[1]liste reference'!$B$7:$D$892,1,0)),VLOOKUP($A27,'[1]liste reference'!$A$7:$D$892,2,0))</f>
        <v>Fontinalis antipyretica</v>
      </c>
      <c r="E27" s="225" t="e">
        <f aca="false">IF(D27="",0,VLOOKUP(D27,D$22:D26,1,0))</f>
        <v>#N/A</v>
      </c>
      <c r="F27" s="226" t="n">
        <f aca="false">($B27*$B$7+$C27*$C$7)/100</f>
        <v>0.0095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10</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Fontinalis antipyretica</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131</v>
      </c>
      <c r="Q27" s="215" t="n">
        <f aca="false">IF(ISTEXT(H27),"",(B27*$B$7/100)+(C27*$C$7/100))</f>
        <v>0.0095</v>
      </c>
      <c r="R27" s="216" t="n">
        <f aca="false">IF(OR(ISTEXT(H27),Q27=0),"",IF(Q27&lt;0.1,1,IF(Q27&lt;1,2,IF(Q27&lt;10,3,IF(Q27&lt;50,4,IF(Q27&gt;=50,5,""))))))</f>
        <v>1</v>
      </c>
      <c r="S27" s="216" t="n">
        <f aca="false">IF(ISERROR(R27*I27),0,R27*I27)</f>
        <v>10</v>
      </c>
      <c r="T27" s="216" t="n">
        <f aca="false">IF(ISERROR(R27*I27*J27),0,R27*I27*J27)</f>
        <v>10</v>
      </c>
      <c r="U27" s="230" t="n">
        <f aca="false">IF(ISERROR(R27*J27),0,R27*J27)</f>
        <v>1</v>
      </c>
      <c r="V27" s="217" t="n">
        <v>1</v>
      </c>
      <c r="W27" s="218"/>
      <c r="Y27" s="219" t="str">
        <f aca="false">IF(A27="new.cod","NEWCOD",IF(AND((Z27=""),ISTEXT(A27)),A27,IF(Z27="","",INDEX('[1]liste reference'!$A$7:$A$892,Z27))))</f>
        <v>FONANT</v>
      </c>
      <c r="Z27" s="10" t="n">
        <f aca="false">IF(ISERROR(MATCH(A27,'[1]liste reference'!$A$7:$A$892,0)),IF(ISERROR(MATCH(A27,'[1]liste reference'!$B$7:$B$892,0)),"",(MATCH(A27,'[1]liste reference'!$B$7:$B$892,0))),(MATCH(A27,'[1]liste reference'!$A$7:$A$892,0)))</f>
        <v>304</v>
      </c>
      <c r="AA27" s="220"/>
      <c r="AB27" s="221"/>
      <c r="AC27" s="221"/>
      <c r="BC27" s="10" t="n">
        <f aca="false">IF(A27="","",1)</f>
        <v>1</v>
      </c>
    </row>
    <row r="28" customFormat="false" ht="12.75" hidden="false" customHeight="false" outlineLevel="0" collapsed="false">
      <c r="A28" s="222" t="s">
        <v>81</v>
      </c>
      <c r="B28" s="223" t="n">
        <v>5</v>
      </c>
      <c r="C28" s="224"/>
      <c r="D28" s="225" t="str">
        <f aca="false">IF(ISERROR(VLOOKUP($A28,'[1]liste reference'!$A$7:$D$892,2,0)),IF(ISERROR(VLOOKUP($A28,'[1]liste reference'!$B$7:$D$892,1,0)),"",VLOOKUP($A28,'[1]liste reference'!$B$7:$D$892,1,0)),VLOOKUP($A28,'[1]liste reference'!$A$7:$D$892,2,0))</f>
        <v>Rhynchostegium riparioides</v>
      </c>
      <c r="E28" s="225" t="e">
        <f aca="false">IF(D28="",0,VLOOKUP(D28,D$22:D27,1,0))</f>
        <v>#N/A</v>
      </c>
      <c r="F28" s="226" t="n">
        <f aca="false">($B28*$B$7+$C28*$C$7)/100</f>
        <v>4.75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12</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Rhynchostegium riparioides</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1268</v>
      </c>
      <c r="Q28" s="215" t="n">
        <f aca="false">IF(ISTEXT(H28),"",(B28*$B$7/100)+(C28*$C$7/100))</f>
        <v>4.75</v>
      </c>
      <c r="R28" s="216" t="n">
        <f aca="false">IF(OR(ISTEXT(H28),Q28=0),"",IF(Q28&lt;0.1,1,IF(Q28&lt;1,2,IF(Q28&lt;10,3,IF(Q28&lt;50,4,IF(Q28&gt;=50,5,""))))))</f>
        <v>3</v>
      </c>
      <c r="S28" s="216" t="n">
        <f aca="false">IF(ISERROR(R28*I28),0,R28*I28)</f>
        <v>36</v>
      </c>
      <c r="T28" s="216" t="n">
        <f aca="false">IF(ISERROR(R28*I28*J28),0,R28*I28*J28)</f>
        <v>36</v>
      </c>
      <c r="U28" s="230" t="n">
        <f aca="false">IF(ISERROR(R28*J28),0,R28*J28)</f>
        <v>3</v>
      </c>
      <c r="V28" s="217" t="n">
        <v>3</v>
      </c>
      <c r="W28" s="218"/>
      <c r="Y28" s="219" t="str">
        <f aca="false">IF(A28="new.cod","NEWCOD",IF(AND((Z28=""),ISTEXT(A28)),A28,IF(Z28="","",INDEX('[1]liste reference'!$A$7:$A$892,Z28))))</f>
        <v>RHYRIP</v>
      </c>
      <c r="Z28" s="10" t="n">
        <f aca="false">IF(ISERROR(MATCH(A28,'[1]liste reference'!$A$7:$A$892,0)),IF(ISERROR(MATCH(A28,'[1]liste reference'!$B$7:$B$892,0)),"",(MATCH(A28,'[1]liste reference'!$B$7:$B$892,0))),(MATCH(A28,'[1]liste reference'!$A$7:$A$892,0)))</f>
        <v>705</v>
      </c>
      <c r="AA28" s="220"/>
      <c r="AB28" s="221"/>
      <c r="AC28" s="221"/>
      <c r="BC28" s="10" t="n">
        <f aca="false">IF(A28="","",1)</f>
        <v>1</v>
      </c>
    </row>
    <row r="29" customFormat="false" ht="12.75" hidden="false" customHeight="false" outlineLevel="0" collapsed="false">
      <c r="A29" s="222" t="s">
        <v>82</v>
      </c>
      <c r="B29" s="223"/>
      <c r="C29" s="224" t="n">
        <v>0.01</v>
      </c>
      <c r="D29" s="225" t="str">
        <f aca="false">IF(ISERROR(VLOOKUP($A29,'[1]liste reference'!$A$7:$D$892,2,0)),IF(ISERROR(VLOOKUP($A29,'[1]liste reference'!$B$7:$D$892,1,0)),"",VLOOKUP($A29,'[1]liste reference'!$B$7:$D$892,1,0)),VLOOKUP($A29,'[1]liste reference'!$A$7:$D$892,2,0))</f>
        <v>Agrostis stolonifera</v>
      </c>
      <c r="E29" s="225" t="e">
        <f aca="false">IF(D29="",0,VLOOKUP(D29,D$22:D28,1,0))</f>
        <v>#N/A</v>
      </c>
      <c r="F29" s="226" t="n">
        <f aca="false">($B29*$B$7+$C29*$C$7)/100</f>
        <v>0.0005</v>
      </c>
      <c r="G29" s="227" t="str">
        <f aca="false">IF(A29="","",IF(ISERROR(VLOOKUP($A29,'[1]liste reference'!$A$7:$P$892,13,0)),IF(ISERROR(VLOOKUP($A29,'[1]liste reference'!$B$7:$P$892,12,0)),"    -",VLOOKUP($A29,'[1]liste reference'!$B$7:$P$892,12,0)),VLOOKUP($A29,'[1]liste reference'!$A$7:$P$892,13,0)))</f>
        <v>PHe</v>
      </c>
      <c r="H29" s="209" t="n">
        <f aca="false">IF(A29="","x",IF(ISERROR(VLOOKUP($A29,'[1]liste reference'!$A$7:$P$892,14,0)),IF(ISERROR(VLOOKUP($A29,'[1]liste reference'!$B$7:$P$892,13,0)),"x",VLOOKUP($A29,'[1]liste reference'!$B$7:$P$892,13,0)),VLOOKUP($A29,'[1]liste reference'!$A$7:$P$892,14,0)))</f>
        <v>8</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Agrostis stolonifera</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1543</v>
      </c>
      <c r="Q29" s="215" t="n">
        <f aca="false">IF(ISTEXT(H29),"",(B29*$B$7/100)+(C29*$C$7/100))</f>
        <v>0.0005</v>
      </c>
      <c r="R29" s="216" t="n">
        <f aca="false">IF(OR(ISTEXT(H29),Q29=0),"",IF(Q29&lt;0.1,1,IF(Q29&lt;1,2,IF(Q29&lt;10,3,IF(Q29&lt;50,4,IF(Q29&gt;=50,5,""))))))</f>
        <v>1</v>
      </c>
      <c r="S29" s="216" t="n">
        <f aca="false">IF(ISERROR(R29*I29),0,R29*I29)</f>
        <v>10</v>
      </c>
      <c r="T29" s="216" t="n">
        <f aca="false">IF(ISERROR(R29*I29*J29),0,R29*I29*J29)</f>
        <v>10</v>
      </c>
      <c r="U29" s="230" t="n">
        <f aca="false">IF(ISERROR(R29*J29),0,R29*J29)</f>
        <v>1</v>
      </c>
      <c r="V29" s="217" t="n">
        <v>1</v>
      </c>
      <c r="W29" s="218"/>
      <c r="Y29" s="219" t="str">
        <f aca="false">IF(A29="new.cod","NEWCOD",IF(AND((Z29=""),ISTEXT(A29)),A29,IF(Z29="","",INDEX('[1]liste reference'!$A$7:$A$892,Z29))))</f>
        <v>AGRSTO</v>
      </c>
      <c r="Z29" s="10" t="n">
        <f aca="false">IF(ISERROR(MATCH(A29,'[1]liste reference'!$A$7:$A$892,0)),IF(ISERROR(MATCH(A29,'[1]liste reference'!$B$7:$B$892,0)),"",(MATCH(A29,'[1]liste reference'!$B$7:$B$892,0))),(MATCH(A29,'[1]liste reference'!$A$7:$A$892,0)))</f>
        <v>8</v>
      </c>
      <c r="AA29" s="220"/>
      <c r="AB29" s="221"/>
      <c r="AC29" s="221"/>
      <c r="BC29" s="10" t="n">
        <f aca="false">IF(A29="","",1)</f>
        <v>1</v>
      </c>
    </row>
    <row r="30" customFormat="false" ht="12.75" hidden="false" customHeight="false" outlineLevel="0" collapsed="false">
      <c r="A30" s="222" t="s">
        <v>83</v>
      </c>
      <c r="B30" s="223"/>
      <c r="C30" s="224" t="n">
        <v>0.01</v>
      </c>
      <c r="D30" s="225" t="str">
        <f aca="false">IF(ISERROR(VLOOKUP($A30,'[1]liste reference'!$A$7:$D$892,2,0)),IF(ISERROR(VLOOKUP($A30,'[1]liste reference'!$B$7:$D$892,1,0)),"",VLOOKUP($A30,'[1]liste reference'!$B$7:$D$892,1,0)),VLOOKUP($A30,'[1]liste reference'!$A$7:$D$892,2,0))</f>
        <v>Caltha palustris</v>
      </c>
      <c r="E30" s="225" t="e">
        <f aca="false">IF(D30="",0,VLOOKUP(D30,D$22:D29,1,0))</f>
        <v>#N/A</v>
      </c>
      <c r="F30" s="226" t="n">
        <f aca="false">($B30*$B$7+$C30*$C$7)/100</f>
        <v>0.0005</v>
      </c>
      <c r="G30" s="227" t="str">
        <f aca="false">IF(A30="","",IF(ISERROR(VLOOKUP($A30,'[1]liste reference'!$A$7:$P$892,13,0)),IF(ISERROR(VLOOKUP($A30,'[1]liste reference'!$B$7:$P$892,12,0)),"    -",VLOOKUP($A30,'[1]liste reference'!$B$7:$P$892,12,0)),VLOOKUP($A30,'[1]liste reference'!$A$7:$P$892,13,0)))</f>
        <v>PHe</v>
      </c>
      <c r="H30" s="209" t="n">
        <f aca="false">IF(A30="","x",IF(ISERROR(VLOOKUP($A30,'[1]liste reference'!$A$7:$P$892,14,0)),IF(ISERROR(VLOOKUP($A30,'[1]liste reference'!$B$7:$P$892,13,0)),"x",VLOOKUP($A30,'[1]liste reference'!$B$7:$P$892,13,0)),VLOOKUP($A30,'[1]liste reference'!$A$7:$P$892,14,0)))</f>
        <v>8</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Caltha palustris</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1893</v>
      </c>
      <c r="Q30" s="215" t="n">
        <f aca="false">IF(ISTEXT(H30),"",(B30*$B$7/100)+(C30*$C$7/100))</f>
        <v>0.0005</v>
      </c>
      <c r="R30" s="216" t="n">
        <f aca="false">IF(OR(ISTEXT(H30),Q30=0),"",IF(Q30&lt;0.1,1,IF(Q30&lt;1,2,IF(Q30&lt;10,3,IF(Q30&lt;50,4,IF(Q30&gt;=50,5,""))))))</f>
        <v>1</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CAHPAL</v>
      </c>
      <c r="Z30" s="10" t="n">
        <f aca="false">IF(ISERROR(MATCH(A30,'[1]liste reference'!$A$7:$A$892,0)),IF(ISERROR(MATCH(A30,'[1]liste reference'!$B$7:$B$892,0)),"",(MATCH(A30,'[1]liste reference'!$B$7:$B$892,0))),(MATCH(A30,'[1]liste reference'!$A$7:$A$892,0)))</f>
        <v>86</v>
      </c>
      <c r="AA30" s="220"/>
      <c r="AB30" s="221"/>
      <c r="AC30" s="221"/>
      <c r="BC30" s="10" t="n">
        <f aca="false">IF(A30="","",1)</f>
        <v>1</v>
      </c>
    </row>
    <row r="31" customFormat="false" ht="12.75" hidden="false" customHeight="false" outlineLevel="0" collapsed="false">
      <c r="A31" s="222" t="s">
        <v>84</v>
      </c>
      <c r="B31" s="223"/>
      <c r="C31" s="224" t="n">
        <v>0.01</v>
      </c>
      <c r="D31" s="225" t="str">
        <f aca="false">IF(ISERROR(VLOOKUP($A31,'[1]liste reference'!$A$7:$D$892,2,0)),IF(ISERROR(VLOOKUP($A31,'[1]liste reference'!$B$7:$D$892,1,0)),"",VLOOKUP($A31,'[1]liste reference'!$B$7:$D$892,1,0)),VLOOKUP($A31,'[1]liste reference'!$A$7:$D$892,2,0))</f>
        <v>Glyceria fluitans</v>
      </c>
      <c r="E31" s="225" t="e">
        <f aca="false">IF(D31="",0,VLOOKUP(D31,D$22:D30,1,0))</f>
        <v>#N/A</v>
      </c>
      <c r="F31" s="226" t="n">
        <f aca="false">($B31*$B$7+$C31*$C$7)/100</f>
        <v>0.0005</v>
      </c>
      <c r="G31" s="227" t="str">
        <f aca="false">IF(A31="","",IF(ISERROR(VLOOKUP($A31,'[1]liste reference'!$A$7:$P$892,13,0)),IF(ISERROR(VLOOKUP($A31,'[1]liste reference'!$B$7:$P$892,12,0)),"    -",VLOOKUP($A31,'[1]liste reference'!$B$7:$P$892,12,0)),VLOOKUP($A31,'[1]liste reference'!$A$7:$P$892,13,0)))</f>
        <v>PHe</v>
      </c>
      <c r="H31" s="209" t="n">
        <f aca="false">IF(A31="","x",IF(ISERROR(VLOOKUP($A31,'[1]liste reference'!$A$7:$P$892,14,0)),IF(ISERROR(VLOOKUP($A31,'[1]liste reference'!$B$7:$P$892,13,0)),"x",VLOOKUP($A31,'[1]liste reference'!$B$7:$P$892,13,0)),VLOOKUP($A31,'[1]liste reference'!$A$7:$P$892,14,0)))</f>
        <v>8</v>
      </c>
      <c r="I31" s="228" t="n">
        <f aca="false">IF(ISNUMBER(H31),IF(ISERROR(VLOOKUP($A31,'[1]liste reference'!$A$7:$P$892,3,0)),IF(ISERROR(VLOOKUP($A31,'[1]liste reference'!$B$7:$P$892,2,0)),"",VLOOKUP($A31,'[1]liste reference'!$B$7:$P$892,2,0)),VLOOKUP($A31,'[1]liste reference'!$A$7:$P$892,3,0)),"")</f>
        <v>14</v>
      </c>
      <c r="J31" s="211" t="n">
        <f aca="false">IF(ISNUMBER(H31),IF(ISERROR(VLOOKUP($A31,'[1]liste reference'!$A$7:$P$892,4,0)),IF(ISERROR(VLOOKUP($A31,'[1]liste reference'!$B$7:$P$892,3,0)),"",VLOOKUP($A31,'[1]liste reference'!$B$7:$P$892,3,0)),VLOOKUP($A31,'[1]liste reference'!$A$7:$P$892,4,0)),"")</f>
        <v>2</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Glyceria fluitans</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1564</v>
      </c>
      <c r="Q31" s="215" t="n">
        <f aca="false">IF(ISTEXT(H31),"",(B31*$B$7/100)+(C31*$C$7/100))</f>
        <v>0.0005</v>
      </c>
      <c r="R31" s="216" t="n">
        <f aca="false">IF(OR(ISTEXT(H31),Q31=0),"",IF(Q31&lt;0.1,1,IF(Q31&lt;1,2,IF(Q31&lt;10,3,IF(Q31&lt;50,4,IF(Q31&gt;=50,5,""))))))</f>
        <v>1</v>
      </c>
      <c r="S31" s="216" t="n">
        <f aca="false">IF(ISERROR(R31*I31),0,R31*I31)</f>
        <v>14</v>
      </c>
      <c r="T31" s="216" t="n">
        <f aca="false">IF(ISERROR(R31*I31*J31),0,R31*I31*J31)</f>
        <v>28</v>
      </c>
      <c r="U31" s="230" t="n">
        <f aca="false">IF(ISERROR(R31*J31),0,R31*J31)</f>
        <v>2</v>
      </c>
      <c r="V31" s="217" t="n">
        <v>2</v>
      </c>
      <c r="W31" s="218"/>
      <c r="Y31" s="219" t="str">
        <f aca="false">IF(A31="new.cod","NEWCOD",IF(AND((Z31=""),ISTEXT(A31)),A31,IF(Z31="","",INDEX('[1]liste reference'!$A$7:$A$892,Z31))))</f>
        <v>GLYFLU</v>
      </c>
      <c r="Z31" s="10" t="n">
        <f aca="false">IF(ISERROR(MATCH(A31,'[1]liste reference'!$A$7:$A$892,0)),IF(ISERROR(MATCH(A31,'[1]liste reference'!$B$7:$B$892,0)),"",(MATCH(A31,'[1]liste reference'!$B$7:$B$892,0))),(MATCH(A31,'[1]liste reference'!$A$7:$A$892,0)))</f>
        <v>320</v>
      </c>
      <c r="AA31" s="220"/>
      <c r="AB31" s="221"/>
      <c r="AC31" s="221"/>
      <c r="BC31" s="10" t="n">
        <f aca="false">IF(A31="","",1)</f>
        <v>1</v>
      </c>
    </row>
    <row r="32" customFormat="false" ht="12.75" hidden="false" customHeight="false" outlineLevel="0" collapsed="false">
      <c r="A32" s="222" t="s">
        <v>85</v>
      </c>
      <c r="B32" s="223"/>
      <c r="C32" s="224" t="n">
        <v>0.01</v>
      </c>
      <c r="D32" s="225" t="str">
        <f aca="false">IF(ISERROR(VLOOKUP($A32,'[1]liste reference'!$A$7:$D$892,2,0)),IF(ISERROR(VLOOKUP($A32,'[1]liste reference'!$B$7:$D$892,1,0)),"",VLOOKUP($A32,'[1]liste reference'!$B$7:$D$892,1,0)),VLOOKUP($A32,'[1]liste reference'!$A$7:$D$892,2,0))</f>
        <v>Veronica beccabunga</v>
      </c>
      <c r="E32" s="225" t="e">
        <f aca="false">IF(D32="",0,VLOOKUP(D32,D$22:D31,1,0))</f>
        <v>#N/A</v>
      </c>
      <c r="F32" s="226" t="n">
        <f aca="false">($B32*$B$7+$C32*$C$7)/100</f>
        <v>0.0005</v>
      </c>
      <c r="G32" s="227" t="str">
        <f aca="false">IF(A32="","",IF(ISERROR(VLOOKUP($A32,'[1]liste reference'!$A$7:$P$892,13,0)),IF(ISERROR(VLOOKUP($A32,'[1]liste reference'!$B$7:$P$892,12,0)),"    -",VLOOKUP($A32,'[1]liste reference'!$B$7:$P$892,12,0)),VLOOKUP($A32,'[1]liste reference'!$A$7:$P$892,13,0)))</f>
        <v>PHe</v>
      </c>
      <c r="H32" s="209" t="n">
        <f aca="false">IF(A32="","x",IF(ISERROR(VLOOKUP($A32,'[1]liste reference'!$A$7:$P$892,14,0)),IF(ISERROR(VLOOKUP($A32,'[1]liste reference'!$B$7:$P$892,13,0)),"x",VLOOKUP($A32,'[1]liste reference'!$B$7:$P$892,13,0)),VLOOKUP($A32,'[1]liste reference'!$A$7:$P$892,14,0)))</f>
        <v>8</v>
      </c>
      <c r="I32" s="228" t="n">
        <f aca="false">IF(ISNUMBER(H32),IF(ISERROR(VLOOKUP($A32,'[1]liste reference'!$A$7:$P$892,3,0)),IF(ISERROR(VLOOKUP($A32,'[1]liste reference'!$B$7:$P$892,2,0)),"",VLOOKUP($A32,'[1]liste reference'!$B$7:$P$892,2,0)),VLOOKUP($A32,'[1]liste reference'!$A$7:$P$892,3,0)),"")</f>
        <v>10</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Veronica beccabunga</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1957</v>
      </c>
      <c r="Q32" s="215" t="n">
        <f aca="false">IF(ISTEXT(H32),"",(B32*$B$7/100)+(C32*$C$7/100))</f>
        <v>0.0005</v>
      </c>
      <c r="R32" s="216" t="n">
        <f aca="false">IF(OR(ISTEXT(H32),Q32=0),"",IF(Q32&lt;0.1,1,IF(Q32&lt;1,2,IF(Q32&lt;10,3,IF(Q32&lt;50,4,IF(Q32&gt;=50,5,""))))))</f>
        <v>1</v>
      </c>
      <c r="S32" s="216" t="n">
        <f aca="false">IF(ISERROR(R32*I32),0,R32*I32)</f>
        <v>10</v>
      </c>
      <c r="T32" s="216" t="n">
        <f aca="false">IF(ISERROR(R32*I32*J32),0,R32*I32*J32)</f>
        <v>10</v>
      </c>
      <c r="U32" s="230" t="n">
        <f aca="false">IF(ISERROR(R32*J32),0,R32*J32)</f>
        <v>1</v>
      </c>
      <c r="V32" s="217" t="n">
        <v>1</v>
      </c>
      <c r="W32" s="218"/>
      <c r="Y32" s="219" t="str">
        <f aca="false">IF(A32="new.cod","NEWCOD",IF(AND((Z32=""),ISTEXT(A32)),A32,IF(Z32="","",INDEX('[1]liste reference'!$A$7:$A$892,Z32))))</f>
        <v>VERBEC</v>
      </c>
      <c r="Z32" s="10" t="n">
        <f aca="false">IF(ISERROR(MATCH(A32,'[1]liste reference'!$A$7:$A$892,0)),IF(ISERROR(MATCH(A32,'[1]liste reference'!$B$7:$B$892,0)),"",(MATCH(A32,'[1]liste reference'!$B$7:$B$892,0))),(MATCH(A32,'[1]liste reference'!$A$7:$A$892,0)))</f>
        <v>867</v>
      </c>
      <c r="AA32" s="220"/>
      <c r="AB32" s="221"/>
      <c r="AC32" s="221"/>
      <c r="BC32" s="10" t="n">
        <f aca="false">IF(A32="","",1)</f>
        <v>1</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Cance</v>
      </c>
      <c r="B84" s="253" t="str">
        <f aca="false">C3</f>
        <v>CANVO</v>
      </c>
      <c r="C84" s="254" t="n">
        <f aca="false">A4</f>
        <v>41081</v>
      </c>
      <c r="D84" s="255" t="n">
        <f aca="false">IF(ISERROR(SUM($T$23:$T$82)/SUM($U$23:$U$82)),"",SUM($T$23:$T$82)/SUM($U$23:$U$82))</f>
        <v>14.5</v>
      </c>
      <c r="E84" s="256" t="n">
        <f aca="false">N13</f>
        <v>10</v>
      </c>
      <c r="F84" s="253" t="n">
        <f aca="false">N14</f>
        <v>9</v>
      </c>
      <c r="G84" s="253" t="n">
        <f aca="false">N15</f>
        <v>4</v>
      </c>
      <c r="H84" s="253" t="n">
        <f aca="false">N16</f>
        <v>4</v>
      </c>
      <c r="I84" s="253" t="n">
        <f aca="false">N17</f>
        <v>1</v>
      </c>
      <c r="J84" s="257" t="n">
        <f aca="false">N8</f>
        <v>13.1111111111111</v>
      </c>
      <c r="K84" s="255" t="n">
        <f aca="false">N9</f>
        <v>2.66666666666667</v>
      </c>
      <c r="L84" s="256" t="n">
        <f aca="false">N10</f>
        <v>10</v>
      </c>
      <c r="M84" s="256" t="n">
        <f aca="false">N11</f>
        <v>17</v>
      </c>
      <c r="N84" s="255" t="n">
        <f aca="false">O8</f>
        <v>1.66666666666667</v>
      </c>
      <c r="O84" s="255" t="n">
        <f aca="false">O9</f>
        <v>0.707106781186548</v>
      </c>
      <c r="P84" s="256" t="n">
        <f aca="false">O10</f>
        <v>1</v>
      </c>
      <c r="Q84" s="256" t="n">
        <f aca="false">O11</f>
        <v>3</v>
      </c>
      <c r="R84" s="256" t="n">
        <f aca="false">F21</f>
        <v>15.7865</v>
      </c>
      <c r="S84" s="256" t="n">
        <f aca="false">K11</f>
        <v>0</v>
      </c>
      <c r="T84" s="256" t="n">
        <f aca="false">K12</f>
        <v>1</v>
      </c>
      <c r="U84" s="256" t="n">
        <f aca="false">K13</f>
        <v>5</v>
      </c>
      <c r="V84" s="258" t="n">
        <f aca="false">K14</f>
        <v>0</v>
      </c>
      <c r="W84" s="259" t="n">
        <f aca="false">K15</f>
        <v>4</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87</v>
      </c>
      <c r="R86" s="10"/>
      <c r="S86" s="217"/>
      <c r="T86" s="10"/>
      <c r="U86" s="10"/>
      <c r="V86" s="10"/>
    </row>
    <row r="87" customFormat="false" ht="12.75" hidden="true" customHeight="false" outlineLevel="0" collapsed="false">
      <c r="P87" s="10"/>
      <c r="Q87" s="10" t="s">
        <v>88</v>
      </c>
      <c r="R87" s="10"/>
      <c r="S87" s="217" t="n">
        <f aca="false">VLOOKUP(MAX($S$23:$S$82),($S$23:$U$82),1,0)</f>
        <v>45</v>
      </c>
      <c r="T87" s="10"/>
      <c r="U87" s="10"/>
      <c r="V87" s="10"/>
    </row>
    <row r="88" customFormat="false" ht="12.75" hidden="true" customHeight="false" outlineLevel="0" collapsed="false">
      <c r="P88" s="10"/>
      <c r="Q88" s="10" t="s">
        <v>89</v>
      </c>
      <c r="R88" s="10"/>
      <c r="S88" s="217" t="n">
        <f aca="false">VLOOKUP((S87),($S$23:$U$82),2,0)</f>
        <v>90</v>
      </c>
      <c r="T88" s="10"/>
      <c r="U88" s="10"/>
      <c r="V88" s="10"/>
    </row>
    <row r="89" customFormat="false" ht="12.75" hidden="false" customHeight="false" outlineLevel="0" collapsed="false">
      <c r="Q89" s="10" t="s">
        <v>90</v>
      </c>
      <c r="R89" s="10"/>
      <c r="S89" s="217" t="n">
        <f aca="false">VLOOKUP((S87),($S$23:$U$82),3,0)</f>
        <v>6</v>
      </c>
      <c r="T89" s="10"/>
    </row>
    <row r="90" customFormat="false" ht="12.75" hidden="false" customHeight="false" outlineLevel="0" collapsed="false">
      <c r="Q90" s="10" t="s">
        <v>91</v>
      </c>
      <c r="R90" s="10"/>
      <c r="S90" s="262" t="n">
        <f aca="false">IF(ISERROR(SUM($T$23:$T$82)/SUM($U$23:$U$82)),"",(SUM($T$23:$T$82)-S88)/(SUM($U$23:$U$82)-S89))</f>
        <v>14.3636363636364</v>
      </c>
      <c r="T90" s="10"/>
    </row>
    <row r="91" customFormat="false" ht="12.75" hidden="false" customHeight="false" outlineLevel="0" collapsed="false">
      <c r="Q91" s="216" t="s">
        <v>92</v>
      </c>
      <c r="R91" s="216"/>
      <c r="S91" s="216" t="str">
        <f aca="false">INDEX('[1]liste reference'!$A$7:$A$892,$T$91)</f>
        <v>BRARIV</v>
      </c>
      <c r="T91" s="10" t="n">
        <f aca="false">IF(ISERROR(MATCH($S$93,'[1]liste reference'!$A$7:$A$892,0)),MATCH($S$93,'[1]liste reference'!$B$7:$B$892,0),(MATCH($S$93,'[1]liste reference'!$A$7:$A$892,0)))</f>
        <v>69</v>
      </c>
      <c r="U91" s="251"/>
    </row>
    <row r="92" customFormat="false" ht="12.75" hidden="false" customHeight="false" outlineLevel="0" collapsed="false">
      <c r="Q92" s="10" t="s">
        <v>93</v>
      </c>
      <c r="R92" s="10"/>
      <c r="S92" s="10" t="n">
        <f aca="false">MATCH(S87,$S$23:$S$82,0)</f>
        <v>4</v>
      </c>
      <c r="T92" s="10"/>
    </row>
    <row r="93" customFormat="false" ht="12.75" hidden="false" customHeight="false" outlineLevel="0" collapsed="false">
      <c r="Q93" s="216" t="s">
        <v>94</v>
      </c>
      <c r="R93" s="10"/>
      <c r="S93" s="216" t="str">
        <f aca="false">INDEX($A$23:$A$82,$S$92)</f>
        <v>BRARIV</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2012-12-05T15:56:33Z</dcterms:created>
  <dc:creator> </dc:creator>
  <dc:description/>
  <dc:language>fr-FR</dc:language>
  <cp:lastModifiedBy> </cp:lastModifiedBy>
  <dcterms:modified xsi:type="dcterms:W3CDTF">2012-12-05T15:56:36Z</dcterms:modified>
  <cp:revision>0</cp:revision>
  <dc:subject/>
  <dc:title/>
</cp:coreProperties>
</file>