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<sst xmlns="http://schemas.openxmlformats.org/spreadsheetml/2006/main" count="219" uniqueCount="100">
  <si>
    <t>Relevés floristiques aquatiques - IBMR</t>
  </si>
  <si>
    <t xml:space="preserve">Formulaire modèle GIS Macrophytes v 3.1.1 - janvier 2013  </t>
  </si>
  <si>
    <t>SAGE</t>
  </si>
  <si>
    <t>LISEBE SRENAHY</t>
  </si>
  <si>
    <t>conforme AFNOR T90-395 oct. 2003</t>
  </si>
  <si>
    <t>CANSE</t>
  </si>
  <si>
    <t>CANSE A SARRAS</t>
  </si>
  <si>
    <t>06103500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</si>
  <si>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</si>
  <si>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</si>
  <si>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</si>
  <si>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</si>
  <si>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</si>
  <si>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</si>
  <si>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</si>
  <si>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</si>
  <si>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DERWEB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</si>
  <si>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</si>
  <si>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</si>
  <si>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</si>
  <si>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</si>
  <si>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</si>
  <si>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</si>
  <si>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</si>
  <si>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</si>
  <si>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</si>
  <si>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</si>
  <si>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</si>
  <si>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</si>
  <si>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</si>
  <si>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</si>
  <si>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</si>
  <si>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</si>
  <si>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</si>
  <si>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</si>
  <si>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</si>
  <si>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</si>
  <si>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</si>
  <si>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</si>
  <si>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</si>
  <si>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</si>
  <si>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</si>
  <si>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</si>
  <si>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</si>
  <si>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</si>
  <si>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</si>
  <si>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</si>
  <si>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</si>
  <si>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</si>
  <si>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</si>
  <si>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</si>
  <si>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</si>
  <si>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</si>
  <si>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</si>
  <si>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</si>
  <si>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</si>
  <si>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</si>
  <si>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</si>
  <si>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</si>
  <si>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</si>
  <si>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</si>
  <si>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</si>
  <si>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</si>
  <si>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</si>
  <si>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</si>
  <si>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</si>
  <si>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</si>
  <si>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</si>
  <si>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</si>
  <si>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</si>
  <si>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</si>
  <si>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</si>
  <si>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</si>
  <si>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</si>
  <si>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</si>
  <si>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</si>
  <si>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</si>
  <si>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</si>
  <si>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</si>
  <si>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CLASPX</t>
  </si>
  <si>
    <t>LEASPX</t>
  </si>
  <si>
    <t>AMBFLU</t>
  </si>
  <si>
    <t>CINFON</t>
  </si>
  <si>
    <t>FONANT</t>
  </si>
  <si>
    <t>EQUSPX</t>
  </si>
  <si>
    <t>JUNSPX</t>
  </si>
  <si>
    <t>LYCEUR</t>
  </si>
  <si>
    <t>LYSVUL</t>
  </si>
  <si>
    <t>LYTSAL</t>
  </si>
  <si>
    <t>REYJAP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</si>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</sst>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4" fillId="20" borderId="80" xfId="0" applyFont="1" applyFill="1" applyBorder="1" applyAlignment="1" applyProtection="1">
      <alignment horizontal="right"/>
      <protection hidden="1"/>
    </xf>
    <xf numFmtId="0" fontId="44" fillId="20" borderId="80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CANSA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X31" sqref="X3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41444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13.772727272727273</v>
      </c>
      <c r="M5" s="53"/>
      <c r="N5" s="54" t="s">
        <v>16</v>
      </c>
      <c r="O5" s="55">
        <v>12.23076923076923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95</v>
      </c>
      <c r="C7" s="67">
        <v>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11.75</v>
      </c>
      <c r="O8" s="85">
        <f>IF(ISERROR(AVERAGE(J23:J82)),"      -",AVERAGE(J23:J82))</f>
        <v>1.75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3.08</v>
      </c>
      <c r="C9" s="88">
        <v>0.05</v>
      </c>
      <c r="D9" s="89"/>
      <c r="E9" s="89"/>
      <c r="F9" s="90">
        <f>($B9*$B$7+$C9*$C$7)/100</f>
        <v>2.9285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2.9047375096555625</v>
      </c>
      <c r="O9" s="85">
        <f>IF(ISERROR(STDEVP(J23:J82)),"      -",STDEVP(J23:J82))</f>
        <v>0.6614378277661477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6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16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1.01</v>
      </c>
      <c r="C12" s="121"/>
      <c r="D12" s="112"/>
      <c r="E12" s="112"/>
      <c r="F12" s="113">
        <f>($B12*$B$7+$C12*$C$7)/100</f>
        <v>0.9595</v>
      </c>
      <c r="G12" s="122"/>
      <c r="H12" s="68"/>
      <c r="I12" s="123" t="s">
        <v>39</v>
      </c>
      <c r="J12" s="124"/>
      <c r="K12" s="117">
        <f>COUNTIF($G$23:$G$82,"=ALG")</f>
        <v>3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0.03</v>
      </c>
      <c r="C13" s="121"/>
      <c r="D13" s="112"/>
      <c r="E13" s="112"/>
      <c r="F13" s="113">
        <f>($B13*$B$7+$C13*$C$7)/100</f>
        <v>0.0285</v>
      </c>
      <c r="G13" s="122"/>
      <c r="H13" s="68"/>
      <c r="I13" s="130" t="s">
        <v>41</v>
      </c>
      <c r="J13" s="124"/>
      <c r="K13" s="117">
        <f>COUNTIF($G$23:$G$82,"=BRm")+COUNTIF($G$23:$G$82,"=BRh")</f>
        <v>3</v>
      </c>
      <c r="L13" s="118"/>
      <c r="M13" s="131" t="s">
        <v>42</v>
      </c>
      <c r="N13" s="132">
        <f>COUNTIF(F23:F82,"&gt;0")</f>
        <v>13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>
        <v>2</v>
      </c>
      <c r="C14" s="121">
        <v>0.01</v>
      </c>
      <c r="D14" s="112"/>
      <c r="E14" s="112"/>
      <c r="F14" s="113">
        <f>($B14*$B$7+$C14*$C$7)/100</f>
        <v>1.9005</v>
      </c>
      <c r="G14" s="122"/>
      <c r="H14" s="68"/>
      <c r="I14" s="130" t="s">
        <v>44</v>
      </c>
      <c r="J14" s="124"/>
      <c r="K14" s="117">
        <f>COUNTIF($G$23:$G$82,"=PTE")+COUNTIF($G$23:$G$82,"=LIC")</f>
        <v>2</v>
      </c>
      <c r="L14" s="118"/>
      <c r="M14" s="135" t="s">
        <v>45</v>
      </c>
      <c r="N14" s="136">
        <f>COUNTIF($I$23:$I$82,"&gt;-1")</f>
        <v>8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>
        <v>0.03</v>
      </c>
      <c r="C15" s="140">
        <v>0.04</v>
      </c>
      <c r="D15" s="112"/>
      <c r="E15" s="112"/>
      <c r="F15" s="113">
        <f>($B15*$B$7+$C15*$C$7)/100</f>
        <v>0.030500000000000003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5</v>
      </c>
      <c r="L15" s="118"/>
      <c r="M15" s="141" t="s">
        <v>48</v>
      </c>
      <c r="N15" s="142">
        <f>COUNTIF(J23:J82,"=1")</f>
        <v>3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4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3.04</v>
      </c>
      <c r="C17" s="121">
        <v>0.01</v>
      </c>
      <c r="D17" s="112"/>
      <c r="E17" s="112"/>
      <c r="F17" s="148"/>
      <c r="G17" s="113">
        <f>($B17*$B$7+$C17*$C$7)/100</f>
        <v>2.8885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1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0.03</v>
      </c>
      <c r="C18" s="151">
        <v>0.04</v>
      </c>
      <c r="D18" s="112"/>
      <c r="E18" s="152" t="s">
        <v>54</v>
      </c>
      <c r="F18" s="148"/>
      <c r="G18" s="113">
        <f>($B18*$B$7+$C18*$C$7)/100</f>
        <v>0.030500000000000003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2.919</v>
      </c>
      <c r="G19" s="161">
        <f>SUM(G16:G18)</f>
        <v>2.919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99</v>
      </c>
      <c r="B20" s="170">
        <f>SUM(B23:B82)</f>
        <v>3.0799999999999987</v>
      </c>
      <c r="C20" s="171">
        <f>SUM(C23:C82)</f>
        <v>0.05</v>
      </c>
      <c r="D20" s="172"/>
      <c r="E20" s="173" t="s">
        <v>54</v>
      </c>
      <c r="F20" s="174">
        <f>($B20*$B$7+$C20*$C$7)/100</f>
        <v>2.9284999999999983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2.9259999999999984</v>
      </c>
      <c r="C21" s="184">
        <f>C20*C7/100</f>
        <v>0.0025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2.9284999999999983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Audouinella sp.</v>
      </c>
      <c r="E23" s="213" t="e">
        <f>IF(D23="",,VLOOKUP(D23,D$22:D22,1,0))</f>
        <v>#N/A</v>
      </c>
      <c r="F23" s="214">
        <f aca="true" t="shared" si="0" ref="F23:F54">($B23*$B$7+$C23*$C$7)/100</f>
        <v>0.009500000000000001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Audouinella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6076</v>
      </c>
      <c r="Q23" s="221">
        <f aca="true" t="shared" si="1" ref="Q23:Q54">IF(ISTEXT(H23),"",(B23*$B$7/100)+(C23*$C$7/100))</f>
        <v>0.009500000000000001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13</v>
      </c>
      <c r="T23" s="222">
        <f aca="true" t="shared" si="4" ref="T23:T54">IF(ISERROR(R23*I23*J23),0,R23*I23*J23)</f>
        <v>26</v>
      </c>
      <c r="U23" s="222">
        <f aca="true" t="shared" si="5" ref="U23:U54">IF(ISERROR(R23*J23),0,R23*J23)</f>
        <v>2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AUDSPX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79</v>
      </c>
      <c r="B24" s="229">
        <v>0.01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0.009500000000000001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0.009500000000000001</v>
      </c>
      <c r="R24" s="222">
        <f t="shared" si="2"/>
        <v>1</v>
      </c>
      <c r="S24" s="222">
        <f t="shared" si="3"/>
        <v>6</v>
      </c>
      <c r="T24" s="222">
        <f t="shared" si="4"/>
        <v>6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Lemanea sp.</v>
      </c>
      <c r="E25" s="231" t="e">
        <f>IF(D25="",,VLOOKUP(D25,D$22:D24,1,0))</f>
        <v>#N/A</v>
      </c>
      <c r="F25" s="232">
        <f t="shared" si="0"/>
        <v>0.95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Lemanea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1159</v>
      </c>
      <c r="Q25" s="221">
        <f t="shared" si="1"/>
        <v>0.95</v>
      </c>
      <c r="R25" s="222">
        <f t="shared" si="2"/>
        <v>2</v>
      </c>
      <c r="S25" s="222">
        <f t="shared" si="3"/>
        <v>30</v>
      </c>
      <c r="T25" s="222">
        <f t="shared" si="4"/>
        <v>60</v>
      </c>
      <c r="U25" s="234">
        <f t="shared" si="5"/>
        <v>4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LEASPX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16</v>
      </c>
      <c r="B26" s="229">
        <v>2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Dermatocarpon weberi</v>
      </c>
      <c r="E26" s="231" t="e">
        <f>IF(D26="",,VLOOKUP(D26,D$22:D25,1,0))</f>
        <v>#N/A</v>
      </c>
      <c r="F26" s="232">
        <f t="shared" si="0"/>
        <v>1.9005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LIC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3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16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Dermatocarpon weberi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10217</v>
      </c>
      <c r="Q26" s="221">
        <f t="shared" si="1"/>
        <v>1.9004999999999999</v>
      </c>
      <c r="R26" s="222">
        <f t="shared" si="2"/>
        <v>3</v>
      </c>
      <c r="S26" s="222">
        <f t="shared" si="3"/>
        <v>48</v>
      </c>
      <c r="T26" s="222">
        <f t="shared" si="4"/>
        <v>144</v>
      </c>
      <c r="U26" s="234">
        <f t="shared" si="5"/>
        <v>9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DERWEB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88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fluviatile</v>
      </c>
      <c r="E27" s="231" t="e">
        <f>IF(D27="",,VLOOKUP(D27,D$22:D26,1,0))</f>
        <v>#N/A</v>
      </c>
      <c r="F27" s="232">
        <f t="shared" si="0"/>
        <v>0.009500000000000001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11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fluviatile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1223</v>
      </c>
      <c r="Q27" s="221">
        <f t="shared" si="1"/>
        <v>0.009500000000000001</v>
      </c>
      <c r="R27" s="222">
        <f t="shared" si="2"/>
        <v>1</v>
      </c>
      <c r="S27" s="222">
        <f t="shared" si="3"/>
        <v>11</v>
      </c>
      <c r="T27" s="222">
        <f t="shared" si="4"/>
        <v>22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AMBFLU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147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fontinaloides</v>
      </c>
      <c r="E28" s="231" t="e">
        <f>IF(D28="",,VLOOKUP(D28,D$22:D27,1,0))</f>
        <v>#N/A</v>
      </c>
      <c r="F28" s="232">
        <f t="shared" si="0"/>
        <v>0.009500000000000001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fontinaloides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1320</v>
      </c>
      <c r="Q28" s="221">
        <f t="shared" si="1"/>
        <v>0.009500000000000001</v>
      </c>
      <c r="R28" s="222">
        <f t="shared" si="2"/>
        <v>1</v>
      </c>
      <c r="S28" s="222">
        <f t="shared" si="3"/>
        <v>12</v>
      </c>
      <c r="T28" s="222">
        <f t="shared" si="4"/>
        <v>24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CINFON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172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0.009500000000000001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0.009500000000000001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Equisetum sp.</v>
      </c>
      <c r="E30" s="231" t="e">
        <f>IF(D30="",,VLOOKUP(D30,D$22:D29,1,0))</f>
        <v>#N/A</v>
      </c>
      <c r="F30" s="232">
        <f t="shared" si="0"/>
        <v>0.0005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PTE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6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Equisetum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1383</v>
      </c>
      <c r="Q30" s="221">
        <f t="shared" si="1"/>
        <v>0.0005</v>
      </c>
      <c r="R30" s="222">
        <f t="shared" si="2"/>
        <v>1</v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EQUSPX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283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Juncus sp.</v>
      </c>
      <c r="E31" s="231" t="e">
        <f>IF(D31="",,VLOOKUP(D31,D$22:D30,1,0))</f>
        <v>#N/A</v>
      </c>
      <c r="F31" s="232">
        <f t="shared" si="0"/>
        <v>0.009500000000000001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Juncus sp.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1606</v>
      </c>
      <c r="Q31" s="221">
        <f t="shared" si="1"/>
        <v>0.009500000000000001</v>
      </c>
      <c r="R31" s="222">
        <f t="shared" si="2"/>
        <v>1</v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JUNSPX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590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0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Lycopus europaeus</v>
      </c>
      <c r="E32" s="231" t="e">
        <f>IF(D32="",,VLOOKUP(D32,D$22:D31,1,0))</f>
        <v>#N/A</v>
      </c>
      <c r="F32" s="232">
        <f t="shared" si="0"/>
        <v>0.0005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11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Lycopus europaeus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1789</v>
      </c>
      <c r="Q32" s="221">
        <f t="shared" si="1"/>
        <v>0.0005</v>
      </c>
      <c r="R32" s="222">
        <f t="shared" si="2"/>
        <v>1</v>
      </c>
      <c r="S32" s="222">
        <f t="shared" si="3"/>
        <v>11</v>
      </c>
      <c r="T32" s="222">
        <f t="shared" si="4"/>
        <v>11</v>
      </c>
      <c r="U32" s="234">
        <f t="shared" si="5"/>
        <v>1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LYCEUR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596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87</v>
      </c>
      <c r="B33" s="229">
        <v>0.01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Lysimachia vulgaris</v>
      </c>
      <c r="E33" s="231" t="e">
        <f>IF(D33="",,VLOOKUP(D33,D$22:D32,1,0))</f>
        <v>#N/A</v>
      </c>
      <c r="F33" s="232">
        <f t="shared" si="0"/>
        <v>0.009500000000000001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Lysimachia vulgaris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1887</v>
      </c>
      <c r="Q33" s="221">
        <f t="shared" si="1"/>
        <v>0.009500000000000001</v>
      </c>
      <c r="R33" s="222">
        <f t="shared" si="2"/>
        <v>1</v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LYSVUL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601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88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Lythrum salicaria</v>
      </c>
      <c r="E34" s="231" t="e">
        <f>IF(D34="",,VLOOKUP(D34,D$22:D33,1,0))</f>
        <v>#N/A</v>
      </c>
      <c r="F34" s="236">
        <f t="shared" si="0"/>
        <v>0.0005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Lythrum salicaria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1823</v>
      </c>
      <c r="Q34" s="221">
        <f t="shared" si="1"/>
        <v>0.0005</v>
      </c>
      <c r="R34" s="222">
        <f t="shared" si="2"/>
        <v>1</v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LYTSAL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605</v>
      </c>
      <c r="AA34" s="226"/>
      <c r="AB34" s="227"/>
      <c r="AC34" s="227"/>
      <c r="BB34" s="8">
        <f t="shared" si="7"/>
        <v>1</v>
      </c>
    </row>
    <row r="35" spans="1:54" ht="12.75">
      <c r="A35" s="228" t="s">
        <v>89</v>
      </c>
      <c r="B35" s="229">
        <v>0.01</v>
      </c>
      <c r="C35" s="230">
        <v>0.01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Reynoutria japonica</v>
      </c>
      <c r="E35" s="231" t="e">
        <f>IF(D35="",,VLOOKUP(D35,D$22:D34,1,0))</f>
        <v>#N/A</v>
      </c>
      <c r="F35" s="236">
        <f t="shared" si="0"/>
        <v>0.01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Reynoutria japonica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19988</v>
      </c>
      <c r="Q35" s="221">
        <f t="shared" si="1"/>
        <v>0.010000000000000002</v>
      </c>
      <c r="R35" s="222">
        <f t="shared" si="2"/>
        <v>1</v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REYJAP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644</v>
      </c>
      <c r="AA35" s="226"/>
      <c r="AB35" s="227"/>
      <c r="AC35" s="227"/>
      <c r="BB35" s="8">
        <f t="shared" si="7"/>
        <v>1</v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90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CANSE</v>
      </c>
      <c r="B84" s="265" t="str">
        <f>C3</f>
        <v>CANSE A SARRAS</v>
      </c>
      <c r="C84" s="266">
        <f>A4</f>
        <v>41444</v>
      </c>
      <c r="D84" s="267">
        <f>IF(ISERROR(SUM($T$23:$T$82)/SUM($U$23:$U$82)),"",SUM($T$23:$T$82)/SUM($U$23:$U$82))</f>
        <v>13.772727272727273</v>
      </c>
      <c r="E84" s="268">
        <f>N13</f>
        <v>13</v>
      </c>
      <c r="F84" s="265">
        <f>N14</f>
        <v>8</v>
      </c>
      <c r="G84" s="265">
        <f>N15</f>
        <v>3</v>
      </c>
      <c r="H84" s="265">
        <f>N16</f>
        <v>4</v>
      </c>
      <c r="I84" s="265">
        <f>N17</f>
        <v>1</v>
      </c>
      <c r="J84" s="269">
        <f>N8</f>
        <v>11.75</v>
      </c>
      <c r="K84" s="267">
        <f>N9</f>
        <v>2.9047375096555625</v>
      </c>
      <c r="L84" s="268">
        <f>N10</f>
        <v>6</v>
      </c>
      <c r="M84" s="268">
        <f>N11</f>
        <v>16</v>
      </c>
      <c r="N84" s="267">
        <f>O8</f>
        <v>1.75</v>
      </c>
      <c r="O84" s="267">
        <f>O9</f>
        <v>0.6614378277661477</v>
      </c>
      <c r="P84" s="268">
        <f>O10</f>
        <v>1</v>
      </c>
      <c r="Q84" s="268">
        <f>O11</f>
        <v>3</v>
      </c>
      <c r="R84" s="268">
        <f>F21</f>
        <v>2.9284999999999983</v>
      </c>
      <c r="S84" s="268">
        <f>K11</f>
        <v>0</v>
      </c>
      <c r="T84" s="268">
        <f>K12</f>
        <v>3</v>
      </c>
      <c r="U84" s="268">
        <f>K13</f>
        <v>3</v>
      </c>
      <c r="V84" s="270">
        <f>K14</f>
        <v>2</v>
      </c>
      <c r="W84" s="271">
        <f>K15</f>
        <v>5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91</v>
      </c>
      <c r="R86" s="8"/>
      <c r="S86" s="223"/>
      <c r="T86" s="8"/>
      <c r="U86" s="8"/>
      <c r="V86" s="8"/>
    </row>
    <row r="87" spans="16:22" ht="12.75" hidden="1">
      <c r="P87" s="8"/>
      <c r="Q87" s="8" t="s">
        <v>92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23">
        <f>VLOOKUP((S87),($S$23:$U$82),2,0)</f>
        <v>144</v>
      </c>
      <c r="T88" s="8"/>
      <c r="U88" s="8"/>
      <c r="V88" s="8"/>
    </row>
    <row r="89" spans="17:20" ht="12.75" hidden="1">
      <c r="Q89" s="8" t="s">
        <v>94</v>
      </c>
      <c r="R89" s="8"/>
      <c r="S89" s="223">
        <f>VLOOKUP((S87),($S$23:$U$82),3,0)</f>
        <v>9</v>
      </c>
      <c r="T89" s="8"/>
    </row>
    <row r="90" spans="17:20" ht="12.75">
      <c r="Q90" s="8" t="s">
        <v>95</v>
      </c>
      <c r="R90" s="8"/>
      <c r="S90" s="274">
        <f>IF(ISERROR(SUM($T$23:$T$82)/SUM($U$23:$U$82)),"",(SUM($T$23:$T$82)-S88)/(SUM($U$23:$U$82)-S89))</f>
        <v>12.23076923076923</v>
      </c>
      <c r="T90" s="8"/>
    </row>
    <row r="91" spans="17:21" ht="12.75">
      <c r="Q91" s="222" t="s">
        <v>96</v>
      </c>
      <c r="R91" s="222"/>
      <c r="S91" s="222" t="str">
        <f>INDEX('[1]liste reference'!$A$8:$A$904,$T$91)</f>
        <v>DERWEB</v>
      </c>
      <c r="T91" s="8">
        <f>IF(ISERROR(MATCH($S$93,'[1]liste reference'!$A$8:$A$904,0)),MATCH($S$93,'[1]liste reference'!$B$8:$B$904,0),(MATCH($S$93,'[1]liste reference'!$A$8:$A$904,0)))</f>
        <v>88</v>
      </c>
      <c r="U91" s="263"/>
    </row>
    <row r="92" spans="17:20" ht="12.75">
      <c r="Q92" s="8" t="s">
        <v>97</v>
      </c>
      <c r="R92" s="8"/>
      <c r="S92" s="8">
        <f>MATCH(S87,$S$23:$S$82,0)</f>
        <v>4</v>
      </c>
      <c r="T92" s="8"/>
    </row>
    <row r="93" spans="17:20" ht="12.75">
      <c r="Q93" s="222" t="s">
        <v>98</v>
      </c>
      <c r="R93" s="8"/>
      <c r="S93" s="222" t="str">
        <f>INDEX($A$23:$A$82,$S$92)</f>
        <v>DERWEB</v>
      </c>
      <c r="T93" s="8"/>
    </row>
    <row r="94" ht="12.75">
      <c r="S94" s="263"/>
    </row>
  </sheetData>
  <sheetProtection password="C39F" sheet="1" objects="1" scenarios="1"/>
  <mergeCells count="11">
    <mergeCell ref="A8:C8"/>
    <mergeCell ref="I11:J11"/>
    <mergeCell ref="I12:J12"/>
    <mergeCell ref="I17:J17"/>
    <mergeCell ref="I13:J13"/>
    <mergeCell ref="I14:J14"/>
    <mergeCell ref="I15:J15"/>
    <mergeCell ref="N6:O6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2013-12-12T14:50:36Z</dcterms:created>
  <dcterms:modified xsi:type="dcterms:W3CDTF">2013-12-12T14:50:38Z</dcterms:modified>
  <cp:category/>
  <cp:version/>
  <cp:contentType/>
  <cp:contentStatus/>
</cp:coreProperties>
</file>