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<sst xmlns="http://schemas.openxmlformats.org/spreadsheetml/2006/main" count="217" uniqueCount="102">
  <si>
    <t>Relevés floristiques aquatiques - IBMR</t>
  </si>
  <si>
    <t>modèle Irstea-GIS</t>
  </si>
  <si>
    <t>SAGE ENVIRONNEMENT</t>
  </si>
  <si>
    <t>C. BERNARD S. RENAHY</t>
  </si>
  <si>
    <t>CANCE</t>
  </si>
  <si>
    <t>CANCE A SARRAS</t>
  </si>
  <si>
    <t>06103500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</si>
  <si>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</si>
  <si>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</si>
  <si>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</si>
  <si>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</si>
  <si>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</si>
  <si>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</si>
  <si>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</si>
  <si>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</si>
  <si>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</si>
  <si>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</si>
  <si>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</si>
  <si>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rapide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</si>
  <si>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</si>
  <si>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</si>
  <si>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</si>
  <si>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</si>
  <si>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</si>
  <si>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</si>
  <si>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</si>
  <si>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</si>
  <si>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</si>
  <si>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</si>
  <si>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</si>
  <si>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</si>
  <si>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</si>
  <si>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</si>
  <si>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</si>
  <si>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</si>
  <si>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</si>
  <si>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</si>
  <si>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</si>
  <si>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</si>
  <si>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</si>
  <si>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</si>
  <si>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</si>
  <si>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</si>
  <si>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</si>
  <si>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</si>
  <si>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</si>
  <si>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</si>
  <si>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</si>
  <si>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</si>
  <si>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</si>
  <si>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</si>
  <si>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</si>
  <si>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</si>
  <si>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</si>
  <si>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</si>
  <si>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</si>
  <si>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</si>
  <si>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</si>
  <si>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</si>
  <si>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</si>
  <si>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</si>
  <si>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</si>
  <si>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</si>
  <si>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</si>
  <si>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</si>
  <si>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</si>
  <si>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</si>
  <si>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</si>
  <si>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</si>
  <si>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</si>
  <si>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</si>
  <si>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</si>
  <si>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</si>
  <si>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</si>
  <si>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</si>
  <si>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</si>
  <si>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</si>
  <si>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</si>
  <si>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</si>
  <si>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</si>
  <si>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</si>
  <si>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</si>
  <si>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LEASPX</t>
  </si>
  <si>
    <t>MELSPX</t>
  </si>
  <si>
    <t>OEDSPX</t>
  </si>
  <si>
    <t>PHOSPX</t>
  </si>
  <si>
    <t>RHISPX</t>
  </si>
  <si>
    <t>SCYSPX</t>
  </si>
  <si>
    <t>SPISPX</t>
  </si>
  <si>
    <t>TETSPX</t>
  </si>
  <si>
    <t>FISCRA</t>
  </si>
  <si>
    <t>FONSQU</t>
  </si>
  <si>
    <t>LEORIP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</si>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</sst>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CANSA_17-08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42233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11.307692307692308</v>
      </c>
      <c r="N5" s="50"/>
      <c r="O5" s="51" t="s">
        <v>16</v>
      </c>
      <c r="P5" s="52">
        <v>10.636363636363637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40</v>
      </c>
      <c r="C7" s="68">
        <v>60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10.461538461538462</v>
      </c>
      <c r="P8" s="85">
        <f>IF(ISERROR(AVERAGE(K23:K82)),"  ",AVERAGE(K23:K82))</f>
        <v>1.6923076923076923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0.76</v>
      </c>
      <c r="C9" s="88">
        <v>0.66</v>
      </c>
      <c r="D9" s="89"/>
      <c r="E9" s="89"/>
      <c r="F9" s="90">
        <f>($B9*$B$7+$C9*$C$7)/100</f>
        <v>0.7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3.895073508052973</v>
      </c>
      <c r="P9" s="85">
        <f>IF(ISERROR(STDEVP(K23:K82)),"  ",STDEVP(K23:K82))</f>
        <v>0.6056929133855239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0.71</v>
      </c>
      <c r="C12" s="114">
        <v>0.66</v>
      </c>
      <c r="D12" s="89"/>
      <c r="E12" s="89"/>
      <c r="F12" s="106">
        <f>($B12*$B$7+$C12*$C$7)/100</f>
        <v>0.68</v>
      </c>
      <c r="G12" s="107"/>
      <c r="H12" s="56"/>
      <c r="I12" s="5"/>
      <c r="J12" s="108" t="s">
        <v>38</v>
      </c>
      <c r="K12" s="109"/>
      <c r="L12" s="110">
        <f>COUNTIF($G$23:$G$82,"=ALG")</f>
        <v>10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0.05</v>
      </c>
      <c r="C13" s="114"/>
      <c r="D13" s="89"/>
      <c r="E13" s="89"/>
      <c r="F13" s="106">
        <f>($B13*$B$7+$C13*$C$7)/100</f>
        <v>0.02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4</v>
      </c>
      <c r="M13" s="111"/>
      <c r="N13" s="120" t="s">
        <v>41</v>
      </c>
      <c r="O13" s="121">
        <f>COUNTIF(F23:F82,"&gt;0")</f>
        <v>14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13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5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7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0.76</v>
      </c>
      <c r="C17" s="114">
        <v>0.66</v>
      </c>
      <c r="D17" s="89"/>
      <c r="E17" s="89"/>
      <c r="F17" s="133"/>
      <c r="G17" s="134">
        <f>($B17*$B$7+$C17*$C$7)/100</f>
        <v>0.7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0.9285714285714286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0.7000000000000001</v>
      </c>
      <c r="G19" s="157">
        <f>SUM(G16:G18)</f>
        <v>0.7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0.7600000000000001</v>
      </c>
      <c r="C20" s="167">
        <f>SUM(C23:C62)</f>
        <v>0.64</v>
      </c>
      <c r="D20" s="168"/>
      <c r="E20" s="169" t="s">
        <v>54</v>
      </c>
      <c r="F20" s="170">
        <f>($B20*$B$7+$C20*$C$7)/100</f>
        <v>0.6880000000000002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0.30400000000000005</v>
      </c>
      <c r="C21" s="178">
        <f>C20*C7/100</f>
        <v>0.384</v>
      </c>
      <c r="D21" s="179" t="s">
        <v>58</v>
      </c>
      <c r="E21" s="180"/>
      <c r="F21" s="181">
        <f>B21+C21</f>
        <v>0.6880000000000001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0.060000000000000005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0.030000000000000006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>IF(ISTEXT(H23),"",(B23*$B$7/100)+(C23*$C$7/100))</f>
        <v>0.030000000000000006</v>
      </c>
      <c r="S23" s="220">
        <f>IF(OR(ISTEXT(H23),R23=0),"",IF(R23&lt;0.1,1,IF(R23&lt;1,2,IF(R23&lt;10,3,IF(R23&lt;50,4,IF(R23&gt;=50,5,""))))))</f>
        <v>1</v>
      </c>
      <c r="T23" s="220">
        <f>IF(ISERROR(S23*J23),0,S23*J23)</f>
        <v>6</v>
      </c>
      <c r="U23" s="220">
        <f>IF(ISERROR(S23*J23*K23),0,S23*J23*K23)</f>
        <v>6</v>
      </c>
      <c r="V23" s="220">
        <f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0.5</v>
      </c>
      <c r="C24" s="226">
        <v>0.1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Hildenbrandia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0.26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Hildenbrandia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1157</v>
      </c>
      <c r="R24" s="219">
        <f>IF(ISTEXT(H24),"",(B24*$B$7/100)+(C24*$C$7/100))</f>
        <v>0.26</v>
      </c>
      <c r="S24" s="220">
        <f>IF(OR(ISTEXT(H24),R24=0),"",IF(R24&lt;0.1,1,IF(R24&lt;1,2,IF(R24&lt;10,3,IF(R24&lt;50,4,IF(R24&gt;=50,5,""))))))</f>
        <v>2</v>
      </c>
      <c r="T24" s="220">
        <f>IF(ISERROR(S24*J24),0,S24*J24)</f>
        <v>30</v>
      </c>
      <c r="U24" s="220">
        <f>IF(ISERROR(S24*J24*K24),0,S24*J24*K24)</f>
        <v>60</v>
      </c>
      <c r="V24" s="236">
        <f>IF(ISERROR(S24*K24),0,S24*K24)</f>
        <v>4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HILSPX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53</v>
      </c>
    </row>
    <row r="25" spans="1:26" ht="12.75">
      <c r="A25" s="224" t="s">
        <v>82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Lemanea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0.004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Lemanea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1159</v>
      </c>
      <c r="R25" s="219">
        <f>IF(ISTEXT(H25),"",(B25*$B$7/100)+(C25*$C$7/100))</f>
        <v>0.004</v>
      </c>
      <c r="S25" s="220">
        <f>IF(OR(ISTEXT(H25),R25=0),"",IF(R25&lt;0.1,1,IF(R25&lt;1,2,IF(R25&lt;10,3,IF(R25&lt;50,4,IF(R25&gt;=50,5,""))))))</f>
        <v>1</v>
      </c>
      <c r="T25" s="220">
        <f>IF(ISERROR(S25*J25),0,S25*J25)</f>
        <v>15</v>
      </c>
      <c r="U25" s="220">
        <f>IF(ISERROR(S25*J25*K25),0,S25*J25*K25)</f>
        <v>30</v>
      </c>
      <c r="V25" s="236">
        <f>IF(ISERROR(S25*K25),0,S25*K25)</f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LEASPX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59</v>
      </c>
    </row>
    <row r="26" spans="1:26" ht="12.75">
      <c r="A26" s="224" t="s">
        <v>83</v>
      </c>
      <c r="B26" s="225">
        <v>0</v>
      </c>
      <c r="C26" s="226">
        <v>0.1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Melosira sp.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0.06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>IF(A26="","",1)</f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Melosira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8714</v>
      </c>
      <c r="R26" s="219">
        <f>IF(ISTEXT(H26),"",(B26*$B$7/100)+(C26*$C$7/100))</f>
        <v>0.06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10</v>
      </c>
      <c r="U26" s="220">
        <f>IF(ISERROR(S26*J26*K26),0,S26*J26*K26)</f>
        <v>10</v>
      </c>
      <c r="V26" s="236">
        <f>IF(ISERROR(S26*K26),0,S26*K26)</f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MELSPX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62</v>
      </c>
    </row>
    <row r="27" spans="1:26" ht="12.75">
      <c r="A27" s="224" t="s">
        <v>84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Oedogonium sp.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0.004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>IF(A27="","",1)</f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6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Oedogonium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1134</v>
      </c>
      <c r="R27" s="219">
        <f>IF(ISTEXT(H27),"",(B27*$B$7/100)+(C27*$C$7/100))</f>
        <v>0.004</v>
      </c>
      <c r="S27" s="220">
        <f>IF(OR(ISTEXT(H27),R27=0),"",IF(R27&lt;0.1,1,IF(R27&lt;1,2,IF(R27&lt;10,3,IF(R27&lt;50,4,IF(R27&gt;=50,5,""))))))</f>
        <v>1</v>
      </c>
      <c r="T27" s="220">
        <f>IF(ISERROR(S27*J27),0,S27*J27)</f>
        <v>6</v>
      </c>
      <c r="U27" s="220">
        <f>IF(ISERROR(S27*J27*K27),0,S27*J27*K27)</f>
        <v>12</v>
      </c>
      <c r="V27" s="236">
        <f>IF(ISERROR(S27*K27),0,S27*K27)</f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OEDSPX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85</v>
      </c>
    </row>
    <row r="28" spans="1:26" ht="12.75">
      <c r="A28" s="224" t="s">
        <v>85</v>
      </c>
      <c r="B28" s="225">
        <v>0</v>
      </c>
      <c r="C28" s="226">
        <v>0.31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Phormidium sp.</v>
      </c>
      <c r="E28" s="228" t="e">
        <f>IF(D28="",,VLOOKUP(D28,D$22:D27,1,0))</f>
        <v>#N/A</v>
      </c>
      <c r="F28" s="229">
        <f>IF(AND(OR(A28="",A28="!!!!!!"),B28="",C28=""),"",IF(OR(AND(B28="",C28=""),ISERROR(C28+B28)),"!!!",($B28*$B$7+$C28*$C$7)/100))</f>
        <v>0.18600000000000003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>IF(A28="","",1)</f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Phormidium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6414</v>
      </c>
      <c r="R28" s="219">
        <f>IF(ISTEXT(H28),"",(B28*$B$7/100)+(C28*$C$7/100))</f>
        <v>0.18600000000000003</v>
      </c>
      <c r="S28" s="220">
        <f>IF(OR(ISTEXT(H28),R28=0),"",IF(R28&lt;0.1,1,IF(R28&lt;1,2,IF(R28&lt;10,3,IF(R28&lt;50,4,IF(R28&gt;=50,5,""))))))</f>
        <v>2</v>
      </c>
      <c r="T28" s="220">
        <f>IF(ISERROR(S28*J28),0,S28*J28)</f>
        <v>26</v>
      </c>
      <c r="U28" s="220">
        <f>IF(ISERROR(S28*J28*K28),0,S28*J28*K28)</f>
        <v>52</v>
      </c>
      <c r="V28" s="236">
        <f>IF(ISERROR(S28*K28),0,S28*K28)</f>
        <v>4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PHOSPX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88</v>
      </c>
    </row>
    <row r="29" spans="1:26" ht="12.75">
      <c r="A29" s="224" t="s">
        <v>86</v>
      </c>
      <c r="B29" s="225">
        <v>0.02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Rhizoclonium sp.</v>
      </c>
      <c r="E29" s="228" t="e">
        <f>IF(D29="",,VLOOKUP(D29,D$22:D28,1,0))</f>
        <v>#N/A</v>
      </c>
      <c r="F29" s="229">
        <f>IF(AND(OR(A29="",A29="!!!!!!"),B29="",C29=""),"",IF(OR(AND(B29="",C29=""),ISERROR(C29+B29)),"!!!",($B29*$B$7+$C29*$C$7)/100))</f>
        <v>0.013999999999999999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>IF(A29="","",1)</f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4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Rhizoclonium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1125</v>
      </c>
      <c r="R29" s="219">
        <f>IF(ISTEXT(H29),"",(B29*$B$7/100)+(C29*$C$7/100))</f>
        <v>0.014</v>
      </c>
      <c r="S29" s="220">
        <f>IF(OR(ISTEXT(H29),R29=0),"",IF(R29&lt;0.1,1,IF(R29&lt;1,2,IF(R29&lt;10,3,IF(R29&lt;50,4,IF(R29&gt;=50,5,""))))))</f>
        <v>1</v>
      </c>
      <c r="T29" s="220">
        <f>IF(ISERROR(S29*J29),0,S29*J29)</f>
        <v>4</v>
      </c>
      <c r="U29" s="220">
        <f>IF(ISERROR(S29*J29*K29),0,S29*J29*K29)</f>
        <v>8</v>
      </c>
      <c r="V29" s="236">
        <f>IF(ISERROR(S29*K29),0,S29*K29)</f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RHISPX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95</v>
      </c>
    </row>
    <row r="30" spans="1:26" ht="12.75">
      <c r="A30" s="224" t="s">
        <v>87</v>
      </c>
      <c r="B30" s="225">
        <v>0.10000000000000002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Scytonema sp.</v>
      </c>
      <c r="E30" s="228" t="e">
        <f>IF(D30="",,VLOOKUP(D30,D$22:D29,1,0))</f>
        <v>#N/A</v>
      </c>
      <c r="F30" s="229">
        <f>IF(AND(OR(A30="",A30="!!!!!!"),B30="",C30=""),"",IF(OR(AND(B30="",C30=""),ISERROR(C30+B30)),"!!!",($B30*$B$7+$C30*$C$7)/100))</f>
        <v>0.046000000000000006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>IF(A30="","",1)</f>
        <v>1</v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nc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nc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Scytonema sp.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1114</v>
      </c>
      <c r="R30" s="219">
        <f>IF(ISTEXT(H30),"",(B30*$B$7/100)+(C30*$C$7/100))</f>
        <v>0.046000000000000006</v>
      </c>
      <c r="S30" s="220">
        <f>IF(OR(ISTEXT(H30),R30=0),"",IF(R30&lt;0.1,1,IF(R30&lt;1,2,IF(R30&lt;10,3,IF(R30&lt;50,4,IF(R30&gt;=50,5,""))))))</f>
        <v>1</v>
      </c>
      <c r="T30" s="220">
        <f>IF(ISERROR(S30*J30),0,S30*J30)</f>
        <v>0</v>
      </c>
      <c r="U30" s="220">
        <f>IF(ISERROR(S30*J30*K30),0,S30*J30*K30)</f>
        <v>0</v>
      </c>
      <c r="V30" s="236">
        <f>IF(ISERROR(S30*K30),0,S30*K30)</f>
        <v>0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SCYSPX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99</v>
      </c>
    </row>
    <row r="31" spans="1:26" ht="12.75">
      <c r="A31" s="224" t="s">
        <v>88</v>
      </c>
      <c r="B31" s="225">
        <v>0</v>
      </c>
      <c r="C31" s="226">
        <v>0.1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Spirogyra sp.</v>
      </c>
      <c r="E31" s="228" t="e">
        <f>IF(D31="",,VLOOKUP(D31,D$22:D30,1,0))</f>
        <v>#N/A</v>
      </c>
      <c r="F31" s="229">
        <f>IF(AND(OR(A31="",A31="!!!!!!"),B31="",C31=""),"",IF(OR(AND(B31="",C31=""),ISERROR(C31+B31)),"!!!",($B31*$B$7+$C31*$C$7)/100))</f>
        <v>0.06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>IF(A31="","",1)</f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10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Spirogyra sp.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1147</v>
      </c>
      <c r="R31" s="219">
        <f>IF(ISTEXT(H31),"",(B31*$B$7/100)+(C31*$C$7/100))</f>
        <v>0.06</v>
      </c>
      <c r="S31" s="220">
        <f>IF(OR(ISTEXT(H31),R31=0),"",IF(R31&lt;0.1,1,IF(R31&lt;1,2,IF(R31&lt;10,3,IF(R31&lt;50,4,IF(R31&gt;=50,5,""))))))</f>
        <v>1</v>
      </c>
      <c r="T31" s="220">
        <f>IF(ISERROR(S31*J31),0,S31*J31)</f>
        <v>10</v>
      </c>
      <c r="U31" s="220">
        <f>IF(ISERROR(S31*J31*K31),0,S31*J31*K31)</f>
        <v>10</v>
      </c>
      <c r="V31" s="236">
        <f>IF(ISERROR(S31*K31),0,S31*K31)</f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SPISPX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102</v>
      </c>
    </row>
    <row r="32" spans="1:26" ht="12.75">
      <c r="A32" s="224" t="s">
        <v>89</v>
      </c>
      <c r="B32" s="225">
        <v>0.01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Tetraspora sp.</v>
      </c>
      <c r="E32" s="228" t="e">
        <f>IF(D32="",,VLOOKUP(D32,D$22:D31,1,0))</f>
        <v>#N/A</v>
      </c>
      <c r="F32" s="229">
        <f>IF(AND(OR(A32="",A32="!!!!!!"),B32="",C32=""),"",IF(OR(AND(B32="",C32=""),ISERROR(C32+B32)),"!!!",($B32*$B$7+$C32*$C$7)/100))</f>
        <v>0.004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ALG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2</v>
      </c>
      <c r="I32" s="5">
        <f>IF(A32="","",1)</f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12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Tetraspora sp.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1138</v>
      </c>
      <c r="R32" s="219">
        <f>IF(ISTEXT(H32),"",(B32*$B$7/100)+(C32*$C$7/100))</f>
        <v>0.004</v>
      </c>
      <c r="S32" s="220">
        <f>IF(OR(ISTEXT(H32),R32=0),"",IF(R32&lt;0.1,1,IF(R32&lt;1,2,IF(R32&lt;10,3,IF(R32&lt;50,4,IF(R32&gt;=50,5,""))))))</f>
        <v>1</v>
      </c>
      <c r="T32" s="220">
        <f>IF(ISERROR(S32*J32),0,S32*J32)</f>
        <v>12</v>
      </c>
      <c r="U32" s="220">
        <f>IF(ISERROR(S32*J32*K32),0,S32*J32*K32)</f>
        <v>12</v>
      </c>
      <c r="V32" s="236">
        <f>IF(ISERROR(S32*K32),0,S32*K32)</f>
        <v>1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TETSPX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107</v>
      </c>
    </row>
    <row r="33" spans="1:26" ht="12.75">
      <c r="A33" s="224" t="s">
        <v>90</v>
      </c>
      <c r="B33" s="225">
        <v>0.01</v>
      </c>
      <c r="C33" s="226">
        <v>0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Fissidens crassipes</v>
      </c>
      <c r="E33" s="228" t="e">
        <f>IF(D33="",,VLOOKUP(D33,D$22:D32,1,0))</f>
        <v>#N/A</v>
      </c>
      <c r="F33" s="229">
        <f>IF(AND(OR(A33="",A33="!!!!!!"),B33="",C33=""),"",IF(OR(AND(B33="",C33=""),ISERROR(C33+B33)),"!!!",($B33*$B$7+$C33*$C$7)/100))</f>
        <v>0.004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>IF(A33="","",1)</f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12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Fissidens crassipes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1294</v>
      </c>
      <c r="R33" s="219">
        <f>IF(ISTEXT(H33),"",(B33*$B$7/100)+(C33*$C$7/100))</f>
        <v>0.004</v>
      </c>
      <c r="S33" s="220">
        <f>IF(OR(ISTEXT(H33),R33=0),"",IF(R33&lt;0.1,1,IF(R33&lt;1,2,IF(R33&lt;10,3,IF(R33&lt;50,4,IF(R33&gt;=50,5,""))))))</f>
        <v>1</v>
      </c>
      <c r="T33" s="220">
        <f>IF(ISERROR(S33*J33),0,S33*J33)</f>
        <v>12</v>
      </c>
      <c r="U33" s="220">
        <f>IF(ISERROR(S33*J33*K33),0,S33*J33*K33)</f>
        <v>24</v>
      </c>
      <c r="V33" s="236">
        <f>IF(ISERROR(S33*K33),0,S33*K33)</f>
        <v>2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FISCRA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255</v>
      </c>
    </row>
    <row r="34" spans="1:26" ht="12.75">
      <c r="A34" s="224" t="s">
        <v>91</v>
      </c>
      <c r="B34" s="225">
        <v>0.01</v>
      </c>
      <c r="C34" s="226">
        <v>0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Fontinalis squamosa</v>
      </c>
      <c r="E34" s="228" t="e">
        <f>IF(D34="",,VLOOKUP(D34,D$22:D33,1,0))</f>
        <v>#N/A</v>
      </c>
      <c r="F34" s="229">
        <f>IF(AND(OR(A34="",A34="!!!!!!"),B34="",C34=""),"",IF(OR(AND(B34="",C34=""),ISERROR(C34+B34)),"!!!",($B34*$B$7+$C34*$C$7)/100))</f>
        <v>0.004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BRm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5</v>
      </c>
      <c r="I34" s="5">
        <f>IF(A34="","",1)</f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16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3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Fontinalis squamosa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1312</v>
      </c>
      <c r="R34" s="219">
        <f>IF(ISTEXT(H34),"",(B34*$B$7/100)+(C34*$C$7/100))</f>
        <v>0.004</v>
      </c>
      <c r="S34" s="220">
        <f>IF(OR(ISTEXT(H34),R34=0),"",IF(R34&lt;0.1,1,IF(R34&lt;1,2,IF(R34&lt;10,3,IF(R34&lt;50,4,IF(R34&gt;=50,5,""))))))</f>
        <v>1</v>
      </c>
      <c r="T34" s="220">
        <f>IF(ISERROR(S34*J34),0,S34*J34)</f>
        <v>16</v>
      </c>
      <c r="U34" s="220">
        <f>IF(ISERROR(S34*J34*K34),0,S34*J34*K34)</f>
        <v>48</v>
      </c>
      <c r="V34" s="236">
        <f>IF(ISERROR(S34*K34),0,S34*K34)</f>
        <v>3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FONSQU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277</v>
      </c>
    </row>
    <row r="35" spans="1:26" ht="12.75">
      <c r="A35" s="224" t="s">
        <v>92</v>
      </c>
      <c r="B35" s="225">
        <v>0.01</v>
      </c>
      <c r="C35" s="226">
        <v>0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Leptodictyum riparium </v>
      </c>
      <c r="E35" s="228" t="e">
        <f>IF(D35="",,VLOOKUP(D35,D$22:D34,1,0))</f>
        <v>#N/A</v>
      </c>
      <c r="F35" s="229">
        <f>IF(AND(OR(A35="",A35="!!!!!!"),B35="",C35=""),"",IF(OR(AND(B35="",C35=""),ISERROR(C35+B35)),"!!!",($B35*$B$7+$C35*$C$7)/100))</f>
        <v>0.004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BRm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5</v>
      </c>
      <c r="I35" s="5">
        <f>IF(A35="","",1)</f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5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Leptodictyum riparium 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1244</v>
      </c>
      <c r="R35" s="219">
        <f>IF(ISTEXT(H35),"",(B35*$B$7/100)+(C35*$C$7/100))</f>
        <v>0.004</v>
      </c>
      <c r="S35" s="220">
        <f>IF(OR(ISTEXT(H35),R35=0),"",IF(R35&lt;0.1,1,IF(R35&lt;1,2,IF(R35&lt;10,3,IF(R35&lt;50,4,IF(R35&gt;=50,5,""))))))</f>
        <v>1</v>
      </c>
      <c r="T35" s="220">
        <f>IF(ISERROR(S35*J35),0,S35*J35)</f>
        <v>5</v>
      </c>
      <c r="U35" s="220">
        <f>IF(ISERROR(S35*J35*K35),0,S35*J35*K35)</f>
        <v>10</v>
      </c>
      <c r="V35" s="236">
        <f>IF(ISERROR(S35*K35),0,S35*K35)</f>
        <v>2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LEORIP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298</v>
      </c>
    </row>
    <row r="36" spans="1:26" ht="12.75">
      <c r="A36" s="224" t="s">
        <v>93</v>
      </c>
      <c r="B36" s="225">
        <v>0.02</v>
      </c>
      <c r="C36" s="226">
        <v>0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Rhynchostegium riparioides</v>
      </c>
      <c r="E36" s="228" t="e">
        <f>IF(D36="",,VLOOKUP(D36,D$22:D35,1,0))</f>
        <v>#N/A</v>
      </c>
      <c r="F36" s="229">
        <f>IF(AND(OR(A36="",A36="!!!!!!"),B36="",C36=""),"",IF(OR(AND(B36="",C36=""),ISERROR(C36+B36)),"!!!",($B36*$B$7+$C36*$C$7)/100))</f>
        <v>0.008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BRm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5</v>
      </c>
      <c r="I36" s="5">
        <f>IF(A36="","",1)</f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12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1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Rhynchostegium riparioides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31691</v>
      </c>
      <c r="R36" s="219">
        <f>IF(ISTEXT(H36),"",(B36*$B$7/100)+(C36*$C$7/100))</f>
        <v>0.008</v>
      </c>
      <c r="S36" s="220">
        <f>IF(OR(ISTEXT(H36),R36=0),"",IF(R36&lt;0.1,1,IF(R36&lt;1,2,IF(R36&lt;10,3,IF(R36&lt;50,4,IF(R36&gt;=50,5,""))))))</f>
        <v>1</v>
      </c>
      <c r="T36" s="220">
        <f>IF(ISERROR(S36*J36),0,S36*J36)</f>
        <v>12</v>
      </c>
      <c r="U36" s="220">
        <f>IF(ISERROR(S36*J36*K36),0,S36*J36*K36)</f>
        <v>12</v>
      </c>
      <c r="V36" s="236">
        <f>IF(ISERROR(S36*K36),0,S36*K36)</f>
        <v>1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RHYRIP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345</v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>IF(AND(OR(A37="",A37="!!!!!!"),B37="",C37=""),"",IF(OR(AND(B37="",C37=""),ISERROR(C37+B37)),"!!!",($B37*$B$7+$C37*$C$7)/100))</f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>IF(A37="","",1)</f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>IF(ISTEXT(H37),"",(B37*$B$7/100)+(C37*$C$7/100))</f>
      </c>
      <c r="S37" s="220">
        <f>IF(OR(ISTEXT(H37),R37=0),"",IF(R37&lt;0.1,1,IF(R37&lt;1,2,IF(R37&lt;10,3,IF(R37&lt;50,4,IF(R37&gt;=50,5,""))))))</f>
      </c>
      <c r="T37" s="220">
        <f>IF(ISERROR(S37*J37),0,S37*J37)</f>
        <v>0</v>
      </c>
      <c r="U37" s="220">
        <f>IF(ISERROR(S37*J37*K37),0,S37*J37*K37)</f>
        <v>0</v>
      </c>
      <c r="V37" s="236">
        <f>IF(ISERROR(S37*K37),0,S37*K37)</f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>IF(AND(OR(A38="",A38="!!!!!!"),B38="",C38=""),"",IF(OR(AND(B38="",C38=""),ISERROR(C38+B38)),"!!!",($B38*$B$7+$C38*$C$7)/100))</f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>IF(A38="","",1)</f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>IF(ISTEXT(H38),"",(B38*$B$7/100)+(C38*$C$7/100))</f>
      </c>
      <c r="S38" s="220">
        <f>IF(OR(ISTEXT(H38),R38=0),"",IF(R38&lt;0.1,1,IF(R38&lt;1,2,IF(R38&lt;10,3,IF(R38&lt;50,4,IF(R38&gt;=50,5,""))))))</f>
      </c>
      <c r="T38" s="220">
        <f>IF(ISERROR(S38*J38),0,S38*J38)</f>
        <v>0</v>
      </c>
      <c r="U38" s="220">
        <f>IF(ISERROR(S38*J38*K38),0,S38*J38*K38)</f>
        <v>0</v>
      </c>
      <c r="V38" s="236">
        <f>IF(ISERROR(S38*K38),0,S38*K38)</f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>IF(AND(OR(A39="",A39="!!!!!!"),B39="",C39=""),"",IF(OR(AND(B39="",C39=""),ISERROR(C39+B39)),"!!!",($B39*$B$7+$C39*$C$7)/100))</f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>IF(A39="","",1)</f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>IF(ISTEXT(H39),"",(B39*$B$7/100)+(C39*$C$7/100))</f>
      </c>
      <c r="S39" s="220">
        <f>IF(OR(ISTEXT(H39),R39=0),"",IF(R39&lt;0.1,1,IF(R39&lt;1,2,IF(R39&lt;10,3,IF(R39&lt;50,4,IF(R39&gt;=50,5,""))))))</f>
      </c>
      <c r="T39" s="220">
        <f>IF(ISERROR(S39*J39),0,S39*J39)</f>
        <v>0</v>
      </c>
      <c r="U39" s="220">
        <f>IF(ISERROR(S39*J39*K39),0,S39*J39*K39)</f>
        <v>0</v>
      </c>
      <c r="V39" s="236">
        <f>IF(ISERROR(S39*K39),0,S39*K39)</f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>IF(AND(OR(A40="",A40="!!!!!!"),B40="",C40=""),"",IF(OR(AND(B40="",C40=""),ISERROR(C40+B40)),"!!!",($B40*$B$7+$C40*$C$7)/100))</f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>IF(A40="","",1)</f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>IF(ISTEXT(H40),"",(B40*$B$7/100)+(C40*$C$7/100))</f>
      </c>
      <c r="S40" s="220">
        <f>IF(OR(ISTEXT(H40),R40=0),"",IF(R40&lt;0.1,1,IF(R40&lt;1,2,IF(R40&lt;10,3,IF(R40&lt;50,4,IF(R40&gt;=50,5,""))))))</f>
      </c>
      <c r="T40" s="220">
        <f>IF(ISERROR(S40*J40),0,S40*J40)</f>
        <v>0</v>
      </c>
      <c r="U40" s="220">
        <f>IF(ISERROR(S40*J40*K40),0,S40*J40*K40)</f>
        <v>0</v>
      </c>
      <c r="V40" s="236">
        <f>IF(ISERROR(S40*K40),0,S40*K40)</f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>IF(AND(OR(A41="",A41="!!!!!!"),B41="",C41=""),"",IF(OR(AND(B41="",C41=""),ISERROR(C41+B41)),"!!!",($B41*$B$7+$C41*$C$7)/100))</f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>IF(A41="","",1)</f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>IF(ISTEXT(H41),"",(B41*$B$7/100)+(C41*$C$7/100))</f>
      </c>
      <c r="S41" s="220">
        <f>IF(OR(ISTEXT(H41),R41=0),"",IF(R41&lt;0.1,1,IF(R41&lt;1,2,IF(R41&lt;10,3,IF(R41&lt;50,4,IF(R41&gt;=50,5,""))))))</f>
      </c>
      <c r="T41" s="220">
        <f>IF(ISERROR(S41*J41),0,S41*J41)</f>
        <v>0</v>
      </c>
      <c r="U41" s="220">
        <f>IF(ISERROR(S41*J41*K41),0,S41*J41*K41)</f>
        <v>0</v>
      </c>
      <c r="V41" s="236">
        <f>IF(ISERROR(S41*K41),0,S41*K41)</f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>IF(AND(OR(A42="",A42="!!!!!!"),B42="",C42=""),"",IF(OR(AND(B42="",C42=""),ISERROR(C42+B42)),"!!!",($B42*$B$7+$C42*$C$7)/100))</f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>IF(A42="","",1)</f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>IF(ISTEXT(H42),"",(B42*$B$7/100)+(C42*$C$7/100))</f>
      </c>
      <c r="S42" s="220">
        <f>IF(OR(ISTEXT(H42),R42=0),"",IF(R42&lt;0.1,1,IF(R42&lt;1,2,IF(R42&lt;10,3,IF(R42&lt;50,4,IF(R42&gt;=50,5,""))))))</f>
      </c>
      <c r="T42" s="220">
        <f>IF(ISERROR(S42*J42),0,S42*J42)</f>
        <v>0</v>
      </c>
      <c r="U42" s="220">
        <f>IF(ISERROR(S42*J42*K42),0,S42*J42*K42)</f>
        <v>0</v>
      </c>
      <c r="V42" s="236">
        <f>IF(ISERROR(S42*K42),0,S42*K42)</f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>IF(AND(OR(A43="",A43="!!!!!!"),B43="",C43=""),"",IF(OR(AND(B43="",C43=""),ISERROR(C43+B43)),"!!!",($B43*$B$7+$C43*$C$7)/100))</f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6">
        <f>IF(ISERROR(S43*K43),0,S43*K43)</f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0.6880000000000002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26</v>
      </c>
      <c r="W83" s="220"/>
      <c r="X83" s="258"/>
      <c r="Y83" s="258"/>
      <c r="Z83" s="259"/>
    </row>
    <row r="84" spans="1:26" ht="12.75" hidden="1">
      <c r="A84" s="253" t="str">
        <f>A3</f>
        <v>CANCE</v>
      </c>
      <c r="B84" s="187" t="str">
        <f>C3</f>
        <v>CANCE A SARRAS</v>
      </c>
      <c r="C84" s="260" t="str">
        <f>A4</f>
        <v>(Date)</v>
      </c>
      <c r="D84" s="261">
        <f>IF(OR(ISERROR(SUM($U$23:$U$82)/SUM($V$23:$V$82)),F7&lt;&gt;100),-1,SUM($U$23:$U$82)/SUM($V$23:$V$82))</f>
        <v>11.307692307692308</v>
      </c>
      <c r="E84" s="262">
        <f>O13</f>
        <v>14</v>
      </c>
      <c r="F84" s="187">
        <f>O14</f>
        <v>13</v>
      </c>
      <c r="G84" s="187">
        <f>O15</f>
        <v>5</v>
      </c>
      <c r="H84" s="187">
        <f>O16</f>
        <v>7</v>
      </c>
      <c r="I84" s="187">
        <f>O17</f>
        <v>1</v>
      </c>
      <c r="J84" s="263">
        <f>O8</f>
        <v>10.461538461538462</v>
      </c>
      <c r="K84" s="264">
        <f>O9</f>
        <v>3.895073508052973</v>
      </c>
      <c r="L84" s="265">
        <f>O10</f>
        <v>4</v>
      </c>
      <c r="M84" s="265">
        <f>O11</f>
        <v>16</v>
      </c>
      <c r="N84" s="264">
        <f>P8</f>
        <v>1.6923076923076923</v>
      </c>
      <c r="O84" s="264">
        <f>P9</f>
        <v>0.6056929133855239</v>
      </c>
      <c r="P84" s="265">
        <f>P10</f>
        <v>1</v>
      </c>
      <c r="Q84" s="265">
        <f>P11</f>
        <v>3</v>
      </c>
      <c r="R84" s="265">
        <f>F21</f>
        <v>0.6880000000000001</v>
      </c>
      <c r="S84" s="265">
        <f>L11</f>
        <v>0</v>
      </c>
      <c r="T84" s="265">
        <f>L12</f>
        <v>10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95</v>
      </c>
      <c r="S87" s="5"/>
      <c r="T87" s="272">
        <f>VLOOKUP($T$91,($A$23:$U$82),20,FALSE)</f>
        <v>30</v>
      </c>
      <c r="U87" s="5"/>
      <c r="V87" s="5"/>
    </row>
    <row r="88" spans="3:22" ht="12.75" hidden="1">
      <c r="C88" s="269"/>
      <c r="D88" s="269"/>
      <c r="E88" s="269"/>
      <c r="R88" s="5" t="s">
        <v>96</v>
      </c>
      <c r="S88" s="5"/>
      <c r="T88" s="272">
        <f>VLOOKUP($T$91,($A$23:$U$82),21,FALSE)</f>
        <v>60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97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98</v>
      </c>
      <c r="S90" s="5" t="s">
        <v>10</v>
      </c>
      <c r="T90" s="273">
        <f>IF(OR(ISERROR(SUM($U$23:$U$82)/SUM($V$23:$V$82)),F7&lt;&gt;100),-1,(SUM($U$23:$U$82)-T88)/(SUM($V$23:$V$82)-T89))</f>
        <v>10.636363636363637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99</v>
      </c>
      <c r="S91" s="220"/>
      <c r="T91" s="220" t="str">
        <f>INDEX('[1]liste reference'!$A$6:$A$1174,$U$91)</f>
        <v>HILSPX</v>
      </c>
      <c r="U91" s="5">
        <f>IF(ISERROR(MATCH($T$93,'[1]liste reference'!$A$6:$A$1174,0)),MATCH($T$93,'[1]liste reference'!$B$6:$B$1174,0),(MATCH($T$93,'[1]liste reference'!$A$6:$A$1174,0)))</f>
        <v>53</v>
      </c>
      <c r="V91" s="274"/>
    </row>
    <row r="92" spans="3:21" ht="12.75" hidden="1">
      <c r="C92" s="269"/>
      <c r="D92" s="269"/>
      <c r="E92" s="269"/>
      <c r="R92" s="5" t="s">
        <v>100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101</v>
      </c>
      <c r="S93" s="5"/>
      <c r="T93" s="220" t="str">
        <f>INDEX($A$23:$A$82,$T$92)</f>
        <v>HILSPX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2016-04-05T08:50:34Z</dcterms:created>
  <dcterms:modified xsi:type="dcterms:W3CDTF">2016-04-05T08:50:38Z</dcterms:modified>
  <cp:category/>
  <cp:version/>
  <cp:contentType/>
  <cp:contentStatus/>
</cp:coreProperties>
</file>