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<sst xmlns="http://schemas.openxmlformats.org/spreadsheetml/2006/main" count="219" uniqueCount="107">
  <si>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</si>
  <si>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</si>
  <si>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</si>
  <si>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</si>
  <si>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</si>
  <si>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Rhône</t>
  </si>
  <si>
    <t>Rhône à Saint Vallier</t>
  </si>
  <si>
    <t>06104000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</si>
  <si>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</si>
  <si>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</si>
  <si>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</si>
  <si>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</si>
  <si>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</si>
  <si>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</si>
  <si>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</si>
  <si>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</si>
  <si>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</si>
  <si>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</si>
  <si>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ch. lentique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</si>
  <si>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</si>
  <si>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</si>
  <si>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</si>
  <si>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</si>
  <si>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</si>
  <si>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</si>
  <si>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</si>
  <si>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</si>
  <si>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</si>
  <si>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</si>
  <si>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</si>
  <si>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</si>
  <si>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</si>
  <si>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</si>
  <si>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</si>
  <si>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</si>
  <si>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</si>
  <si>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</si>
  <si>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</si>
  <si>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</si>
  <si>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</si>
  <si>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</si>
  <si>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</si>
  <si>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</si>
  <si>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</si>
  <si>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</si>
  <si>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</si>
  <si>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</si>
  <si>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</si>
  <si>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</si>
  <si>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</si>
  <si>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</si>
  <si>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</si>
  <si>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</si>
  <si>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</si>
  <si>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</si>
  <si>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</si>
  <si>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</si>
  <si>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</si>
  <si>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</si>
  <si>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</si>
  <si>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</si>
  <si>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</si>
  <si>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</si>
  <si>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</si>
  <si>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</si>
  <si>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</si>
  <si>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</si>
  <si>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</si>
  <si>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</si>
  <si>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</si>
  <si>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</si>
  <si>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</si>
  <si>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</si>
  <si>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</si>
  <si>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</si>
  <si>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</si>
  <si>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</si>
  <si>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</si>
  <si>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</si>
  <si>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VAUSPX</t>
  </si>
  <si>
    <t>AMBFLU</t>
  </si>
  <si>
    <t>CINDAN</t>
  </si>
  <si>
    <t>CINFON</t>
  </si>
  <si>
    <t>FONANT</t>
  </si>
  <si>
    <t>OCTFON</t>
  </si>
  <si>
    <t>CERDEM</t>
  </si>
  <si>
    <t>EGEDEN</t>
  </si>
  <si>
    <t>MYRSPI</t>
  </si>
  <si>
    <t>NAJMAR</t>
  </si>
  <si>
    <t>POTNOD</t>
  </si>
  <si>
    <t>POTPEC</t>
  </si>
  <si>
    <t>POTPER</t>
  </si>
  <si>
    <t>VALSPI</t>
  </si>
  <si>
    <t>IRIPSE</t>
  </si>
  <si>
    <t>PHAARU</t>
  </si>
  <si>
    <t>PHRAUS</t>
  </si>
  <si>
    <t>newcod</t>
  </si>
  <si>
    <t>Mougeotiopsis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</si>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</sst>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8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44" fillId="39" borderId="10" xfId="50" applyFont="1" applyFill="1" applyBorder="1" applyAlignment="1" applyProtection="1">
      <alignment horizontal="right"/>
      <protection locked="0"/>
    </xf>
    <xf numFmtId="2" fontId="44" fillId="38" borderId="72" xfId="0" applyNumberFormat="1" applyFont="1" applyFill="1" applyBorder="1" applyAlignment="1" applyProtection="1">
      <alignment horizontal="center"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0" fontId="46" fillId="42" borderId="10" xfId="50" applyFont="1" applyFill="1" applyBorder="1" applyAlignment="1" applyProtection="1">
      <alignment horizontal="right"/>
      <protection locked="0"/>
    </xf>
    <xf numFmtId="1" fontId="43" fillId="0" borderId="0" xfId="0" applyNumberFormat="1" applyFont="1" applyAlignment="1" applyProtection="1">
      <alignment/>
      <protection hidden="1"/>
    </xf>
    <xf numFmtId="0" fontId="44" fillId="43" borderId="10" xfId="50" applyFont="1" applyFill="1" applyBorder="1" applyAlignment="1" applyProtection="1">
      <alignment horizontal="right"/>
      <protection locked="0"/>
    </xf>
    <xf numFmtId="0" fontId="0" fillId="40" borderId="78" xfId="0" applyNumberFormat="1" applyFont="1" applyFill="1" applyBorder="1" applyAlignment="1" applyProtection="1">
      <alignment/>
      <protection hidden="1"/>
    </xf>
    <xf numFmtId="0" fontId="44" fillId="41" borderId="10" xfId="50" applyFont="1" applyFill="1" applyBorder="1" applyAlignment="1" applyProtection="1">
      <alignment horizontal="right"/>
      <protection locked="0"/>
    </xf>
    <xf numFmtId="0" fontId="44" fillId="38" borderId="79" xfId="0" applyFont="1" applyFill="1" applyBorder="1" applyAlignment="1" applyProtection="1">
      <alignment horizontal="right" wrapText="1"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5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3822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696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HOVA_26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7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7.446428571428571</v>
      </c>
      <c r="M5" s="52"/>
      <c r="N5" s="53" t="s">
        <v>16</v>
      </c>
      <c r="O5" s="54">
        <v>6.78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0</v>
      </c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8.235294117647058</v>
      </c>
      <c r="O8" s="84">
        <f>IF(ISERROR(AVERAGE(J23:J82)),"      -",AVERAGE(J23:J82))</f>
        <v>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/>
      <c r="C9" s="87">
        <v>18.87</v>
      </c>
      <c r="D9" s="88"/>
      <c r="E9" s="88"/>
      <c r="F9" s="89">
        <f aca="true" t="shared" si="0" ref="F9:F15">($B9*$B$7+$C9*$C$7)/100</f>
        <v>18.87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3.2089839287025543</v>
      </c>
      <c r="O9" s="84">
        <f>IF(ISERROR(STDEVP(J23:J82)),"      -",STDEVP(J23:J82))</f>
        <v>0.6859943405700354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6.61</v>
      </c>
      <c r="D12" s="111"/>
      <c r="E12" s="111"/>
      <c r="F12" s="112">
        <f t="shared" si="0"/>
        <v>6.61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>
        <v>0.01</v>
      </c>
      <c r="D13" s="111"/>
      <c r="E13" s="111"/>
      <c r="F13" s="112">
        <f t="shared" si="0"/>
        <v>0.01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19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12.25</v>
      </c>
      <c r="D15" s="111"/>
      <c r="E15" s="111"/>
      <c r="F15" s="112">
        <f t="shared" si="0"/>
        <v>12.25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11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9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/>
      <c r="C17" s="120">
        <v>18.86</v>
      </c>
      <c r="D17" s="111"/>
      <c r="E17" s="111"/>
      <c r="F17" s="147"/>
      <c r="G17" s="112">
        <f>($B17*$B$7+$C17*$C$7)/100</f>
        <v>18.86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4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0.01</v>
      </c>
      <c r="D18" s="111"/>
      <c r="E18" s="152" t="s">
        <v>54</v>
      </c>
      <c r="F18" s="147"/>
      <c r="G18" s="112">
        <f>($B18*$B$7+$C18*$C$7)/100</f>
        <v>0.01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18.87</v>
      </c>
      <c r="G19" s="161">
        <f>SUM(G16:G18)</f>
        <v>18.87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</v>
      </c>
      <c r="C20" s="171">
        <f>SUM(C23:C82)</f>
        <v>18.8671168224299</v>
      </c>
      <c r="D20" s="172"/>
      <c r="E20" s="173" t="s">
        <v>54</v>
      </c>
      <c r="F20" s="174">
        <f>($B20*$B$7+$C20*$C$7)/100</f>
        <v>18.8671168224299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</v>
      </c>
      <c r="C21" s="184">
        <f>C20*C7/100</f>
        <v>18.8671168224299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18.8671168224299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5">
      <c r="A23" s="210" t="s">
        <v>16</v>
      </c>
      <c r="B23" s="211">
        <v>0</v>
      </c>
      <c r="C23" s="211">
        <v>5.572429906542056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12" t="e">
        <f>IF(D23="",,VLOOKUP(D23,D$22:D22,1,0))</f>
        <v>#N/A</v>
      </c>
      <c r="F23" s="213">
        <f aca="true" t="shared" si="1" ref="F23:F82">($B23*$B$7+$C23*$C$7)/100</f>
        <v>5.572429906542056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20">
        <f aca="true" t="shared" si="2" ref="Q23:Q82">IF(ISTEXT(H23),"",(B23*$B$7/100)+(C23*$C$7/100))</f>
        <v>5.572429906542056</v>
      </c>
      <c r="R23" s="221">
        <f aca="true" t="shared" si="3" ref="R23:R82">IF(OR(ISTEXT(H23),Q23=0),"",IF(Q23&lt;0.1,1,IF(Q23&lt;1,2,IF(Q23&lt;10,3,IF(Q23&lt;50,4,IF(Q23&gt;=50,5,""))))))</f>
        <v>3</v>
      </c>
      <c r="S23" s="221">
        <f aca="true" t="shared" si="4" ref="S23:S82">IF(ISERROR(R23*I23),0,R23*I23)</f>
        <v>39</v>
      </c>
      <c r="T23" s="221">
        <f aca="true" t="shared" si="5" ref="T23:T82">IF(ISERROR(R23*I23*J23),0,R23*I23*J23)</f>
        <v>78</v>
      </c>
      <c r="U23" s="221">
        <f aca="true" t="shared" si="6" ref="U23:U82">IF(ISERROR(R23*J23),0,R23*J23)</f>
        <v>6</v>
      </c>
      <c r="V23" s="222">
        <f aca="true" t="shared" si="7" ref="V23:V82"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25"/>
      <c r="AB23" s="226"/>
      <c r="AC23" s="226"/>
      <c r="BB23" s="8">
        <f aca="true" t="shared" si="8" ref="BB23:BB82">IF(A23="","",1)</f>
        <v>1</v>
      </c>
    </row>
    <row r="24" spans="1:54" ht="15">
      <c r="A24" s="210" t="s">
        <v>79</v>
      </c>
      <c r="B24" s="211">
        <v>0</v>
      </c>
      <c r="C24" s="211">
        <v>1.0378504672897195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27" t="e">
        <f>IF(D24="",,VLOOKUP(D24,D$22:D23,1,0))</f>
        <v>#N/A</v>
      </c>
      <c r="F24" s="228">
        <f t="shared" si="1"/>
        <v>1.0378504672897195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20">
        <f t="shared" si="2"/>
        <v>1.0378504672897195</v>
      </c>
      <c r="R24" s="221">
        <f t="shared" si="3"/>
        <v>3</v>
      </c>
      <c r="S24" s="221">
        <f t="shared" si="4"/>
        <v>12</v>
      </c>
      <c r="T24" s="221">
        <f t="shared" si="5"/>
        <v>12</v>
      </c>
      <c r="U24" s="230">
        <f t="shared" si="6"/>
        <v>3</v>
      </c>
      <c r="V24" s="222">
        <f t="shared" si="7"/>
      </c>
      <c r="W24" s="223" t="s">
        <v>55</v>
      </c>
      <c r="Y24" s="224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5"/>
      <c r="AB24" s="226"/>
      <c r="AC24" s="226"/>
      <c r="BB24" s="8">
        <f t="shared" si="8"/>
        <v>1</v>
      </c>
    </row>
    <row r="25" spans="1:54" ht="15">
      <c r="A25" s="231" t="s">
        <v>80</v>
      </c>
      <c r="B25" s="211">
        <v>0</v>
      </c>
      <c r="C25" s="211">
        <v>0.0005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fluviatile</v>
      </c>
      <c r="E25" s="227" t="e">
        <f>IF(D25="",,VLOOKUP(D25,D$22:D24,1,0))</f>
        <v>#N/A</v>
      </c>
      <c r="F25" s="228">
        <f t="shared" si="1"/>
        <v>0.0005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11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fluviatile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1223</v>
      </c>
      <c r="Q25" s="220">
        <f t="shared" si="2"/>
        <v>0.0005</v>
      </c>
      <c r="R25" s="221">
        <f t="shared" si="3"/>
        <v>1</v>
      </c>
      <c r="S25" s="221">
        <f t="shared" si="4"/>
        <v>11</v>
      </c>
      <c r="T25" s="221">
        <f t="shared" si="5"/>
        <v>22</v>
      </c>
      <c r="U25" s="230">
        <f t="shared" si="6"/>
        <v>2</v>
      </c>
      <c r="V25" s="222">
        <f t="shared" si="7"/>
      </c>
      <c r="W25" s="223" t="s">
        <v>55</v>
      </c>
      <c r="Y25" s="224" t="str">
        <f>IF(A25="new.cod","NEWCOD",IF(AND((Z25=""),ISTEXT(A25)),A25,IF(Z25="","",INDEX('[1]liste reference'!$A$8:$A$904,Z25))))</f>
        <v>AMBFLU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147</v>
      </c>
      <c r="AA25" s="225"/>
      <c r="AB25" s="226"/>
      <c r="AC25" s="226"/>
      <c r="BB25" s="8">
        <f t="shared" si="8"/>
        <v>1</v>
      </c>
    </row>
    <row r="26" spans="1:54" ht="15">
      <c r="A26" s="231" t="s">
        <v>81</v>
      </c>
      <c r="B26" s="211">
        <v>0</v>
      </c>
      <c r="C26" s="211">
        <v>0.0005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danubicus</v>
      </c>
      <c r="E26" s="227" t="e">
        <f>IF(D26="",,VLOOKUP(D26,D$22:D25,1,0))</f>
        <v>#N/A</v>
      </c>
      <c r="F26" s="228">
        <f t="shared" si="1"/>
        <v>0.0005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danubicus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1319</v>
      </c>
      <c r="Q26" s="220">
        <f t="shared" si="2"/>
        <v>0.0005</v>
      </c>
      <c r="R26" s="221">
        <f t="shared" si="3"/>
        <v>1</v>
      </c>
      <c r="S26" s="221">
        <f t="shared" si="4"/>
        <v>13</v>
      </c>
      <c r="T26" s="221">
        <f t="shared" si="5"/>
        <v>39</v>
      </c>
      <c r="U26" s="230">
        <f t="shared" si="6"/>
        <v>3</v>
      </c>
      <c r="V26" s="222">
        <f t="shared" si="7"/>
      </c>
      <c r="W26" s="223" t="s">
        <v>55</v>
      </c>
      <c r="Y26" s="224" t="str">
        <f>IF(A26="new.cod","NEWCOD",IF(AND((Z26=""),ISTEXT(A26)),A26,IF(Z26="","",INDEX('[1]liste reference'!$A$8:$A$904,Z26))))</f>
        <v>CINDAN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171</v>
      </c>
      <c r="AA26" s="225"/>
      <c r="AB26" s="226"/>
      <c r="AC26" s="226"/>
      <c r="BB26" s="8">
        <f t="shared" si="8"/>
        <v>1</v>
      </c>
    </row>
    <row r="27" spans="1:54" ht="15">
      <c r="A27" s="231" t="s">
        <v>82</v>
      </c>
      <c r="B27" s="211">
        <v>0</v>
      </c>
      <c r="C27" s="211">
        <v>0.0005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fontinaloides</v>
      </c>
      <c r="E27" s="227" t="e">
        <f>IF(D27="",,VLOOKUP(D27,D$22:D26,1,0))</f>
        <v>#N/A</v>
      </c>
      <c r="F27" s="228">
        <f t="shared" si="1"/>
        <v>0.0005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fontinaloides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1320</v>
      </c>
      <c r="Q27" s="220">
        <f t="shared" si="2"/>
        <v>0.0005</v>
      </c>
      <c r="R27" s="221">
        <f t="shared" si="3"/>
        <v>1</v>
      </c>
      <c r="S27" s="221">
        <f t="shared" si="4"/>
        <v>12</v>
      </c>
      <c r="T27" s="221">
        <f t="shared" si="5"/>
        <v>24</v>
      </c>
      <c r="U27" s="230">
        <f t="shared" si="6"/>
        <v>2</v>
      </c>
      <c r="V27" s="222">
        <f t="shared" si="7"/>
      </c>
      <c r="W27" s="232" t="s">
        <v>55</v>
      </c>
      <c r="Y27" s="224" t="str">
        <f>IF(A27="new.cod","NEWCOD",IF(AND((Z27=""),ISTEXT(A27)),A27,IF(Z27="","",INDEX('[1]liste reference'!$A$8:$A$904,Z27))))</f>
        <v>CINFON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172</v>
      </c>
      <c r="AA27" s="225"/>
      <c r="AB27" s="226"/>
      <c r="AC27" s="226"/>
      <c r="BB27" s="8">
        <f t="shared" si="8"/>
        <v>1</v>
      </c>
    </row>
    <row r="28" spans="1:54" ht="15">
      <c r="A28" s="231" t="s">
        <v>83</v>
      </c>
      <c r="B28" s="211">
        <v>0</v>
      </c>
      <c r="C28" s="211">
        <v>0.0005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27" t="e">
        <f>IF(D28="",,VLOOKUP(D28,D$22:D27,1,0))</f>
        <v>#N/A</v>
      </c>
      <c r="F28" s="228">
        <f t="shared" si="1"/>
        <v>0.0005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0">
        <f t="shared" si="2"/>
        <v>0.0005</v>
      </c>
      <c r="R28" s="221">
        <f t="shared" si="3"/>
        <v>1</v>
      </c>
      <c r="S28" s="221">
        <f t="shared" si="4"/>
        <v>10</v>
      </c>
      <c r="T28" s="221">
        <f t="shared" si="5"/>
        <v>10</v>
      </c>
      <c r="U28" s="230">
        <f t="shared" si="6"/>
        <v>1</v>
      </c>
      <c r="V28" s="222">
        <f t="shared" si="7"/>
      </c>
      <c r="W28" s="223" t="s">
        <v>55</v>
      </c>
      <c r="Y28" s="224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5"/>
      <c r="AB28" s="226"/>
      <c r="AC28" s="226"/>
      <c r="BB28" s="8">
        <f t="shared" si="8"/>
        <v>1</v>
      </c>
    </row>
    <row r="29" spans="1:54" ht="15">
      <c r="A29" s="231" t="s">
        <v>84</v>
      </c>
      <c r="B29" s="211">
        <v>0</v>
      </c>
      <c r="C29" s="211">
        <v>0.0005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Octodiceras fontanum</v>
      </c>
      <c r="E29" s="227" t="e">
        <f>IF(D29="",,VLOOKUP(D29,D$22:D28,1,0))</f>
        <v>#N/A</v>
      </c>
      <c r="F29" s="228">
        <f t="shared" si="1"/>
        <v>0.0005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7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Octodiceras fontanum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1303</v>
      </c>
      <c r="Q29" s="220">
        <f t="shared" si="2"/>
        <v>0.0005</v>
      </c>
      <c r="R29" s="221">
        <f t="shared" si="3"/>
        <v>1</v>
      </c>
      <c r="S29" s="221">
        <f t="shared" si="4"/>
        <v>7</v>
      </c>
      <c r="T29" s="221">
        <f t="shared" si="5"/>
        <v>21</v>
      </c>
      <c r="U29" s="230">
        <f t="shared" si="6"/>
        <v>3</v>
      </c>
      <c r="V29" s="222">
        <f t="shared" si="7"/>
      </c>
      <c r="W29" s="223" t="s">
        <v>55</v>
      </c>
      <c r="X29" s="223"/>
      <c r="Y29" s="224" t="str">
        <f>IF(A29="new.cod","NEWCOD",IF(AND((Z29=""),ISTEXT(A29)),A29,IF(Z29="","",INDEX('[1]liste reference'!$A$8:$A$904,Z29))))</f>
        <v>OCTFON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228</v>
      </c>
      <c r="AA29" s="225"/>
      <c r="AB29" s="226"/>
      <c r="AC29" s="226"/>
      <c r="BB29" s="8">
        <f t="shared" si="8"/>
        <v>1</v>
      </c>
    </row>
    <row r="30" spans="1:54" ht="15">
      <c r="A30" s="233" t="s">
        <v>85</v>
      </c>
      <c r="B30" s="211">
        <v>0</v>
      </c>
      <c r="C30" s="211">
        <v>0.04439252336448598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Ceratophyllum demersum</v>
      </c>
      <c r="E30" s="227" t="e">
        <f>IF(D30="",,VLOOKUP(D30,D$22:D29,1,0))</f>
        <v>#N/A</v>
      </c>
      <c r="F30" s="228">
        <f t="shared" si="1"/>
        <v>0.04439252336448598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5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Ceratophyllum demersum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1717</v>
      </c>
      <c r="Q30" s="220">
        <f t="shared" si="2"/>
        <v>0.04439252336448598</v>
      </c>
      <c r="R30" s="221">
        <f t="shared" si="3"/>
        <v>1</v>
      </c>
      <c r="S30" s="221">
        <f t="shared" si="4"/>
        <v>5</v>
      </c>
      <c r="T30" s="221">
        <f t="shared" si="5"/>
        <v>10</v>
      </c>
      <c r="U30" s="230">
        <f t="shared" si="6"/>
        <v>2</v>
      </c>
      <c r="V30" s="222">
        <f t="shared" si="7"/>
      </c>
      <c r="W30" s="223" t="s">
        <v>55</v>
      </c>
      <c r="Y30" s="224" t="str">
        <f>IF(A30="new.cod","NEWCOD",IF(AND((Z30=""),ISTEXT(A30)),A30,IF(Z30="","",INDEX('[1]liste reference'!$A$8:$A$904,Z30))))</f>
        <v>CERDEM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330</v>
      </c>
      <c r="AA30" s="225"/>
      <c r="AB30" s="226"/>
      <c r="AC30" s="226"/>
      <c r="BB30" s="8">
        <f t="shared" si="8"/>
        <v>1</v>
      </c>
    </row>
    <row r="31" spans="1:54" ht="15">
      <c r="A31" s="233" t="s">
        <v>86</v>
      </c>
      <c r="B31" s="211">
        <v>0</v>
      </c>
      <c r="C31" s="211">
        <v>2.441588785046729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Egeria densa</v>
      </c>
      <c r="E31" s="227" t="e">
        <f>IF(D31="",,VLOOKUP(D31,D$22:D30,1,0))</f>
        <v>#N/A</v>
      </c>
      <c r="F31" s="228">
        <f t="shared" si="1"/>
        <v>2.441588785046729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Egeria densa</v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19626</v>
      </c>
      <c r="Q31" s="220">
        <f t="shared" si="2"/>
        <v>2.441588785046729</v>
      </c>
      <c r="R31" s="221">
        <f t="shared" si="3"/>
        <v>3</v>
      </c>
      <c r="S31" s="221">
        <f t="shared" si="4"/>
        <v>0</v>
      </c>
      <c r="T31" s="221">
        <f t="shared" si="5"/>
        <v>0</v>
      </c>
      <c r="U31" s="230">
        <f t="shared" si="6"/>
        <v>0</v>
      </c>
      <c r="V31" s="222">
        <f t="shared" si="7"/>
      </c>
      <c r="W31" s="223" t="s">
        <v>55</v>
      </c>
      <c r="Y31" s="224" t="str">
        <f>IF(A31="new.cod","NEWCOD",IF(AND((Z31=""),ISTEXT(A31)),A31,IF(Z31="","",INDEX('[1]liste reference'!$A$8:$A$904,Z31))))</f>
        <v>EGEDEN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337</v>
      </c>
      <c r="AA31" s="225"/>
      <c r="AB31" s="226"/>
      <c r="AC31" s="226"/>
      <c r="BB31" s="8">
        <f t="shared" si="8"/>
        <v>1</v>
      </c>
    </row>
    <row r="32" spans="1:54" ht="15">
      <c r="A32" s="233" t="s">
        <v>87</v>
      </c>
      <c r="B32" s="211">
        <v>0</v>
      </c>
      <c r="C32" s="211">
        <v>0.8878504672897196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Myriophyllum spicatum</v>
      </c>
      <c r="E32" s="227" t="e">
        <f>IF(D32="",,VLOOKUP(D32,D$22:D31,1,0))</f>
        <v>#N/A</v>
      </c>
      <c r="F32" s="228">
        <f t="shared" si="1"/>
        <v>0.8878504672897196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8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Myriophyllum spicatum</v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1778</v>
      </c>
      <c r="Q32" s="220">
        <f t="shared" si="2"/>
        <v>0.8878504672897196</v>
      </c>
      <c r="R32" s="221">
        <f t="shared" si="3"/>
        <v>2</v>
      </c>
      <c r="S32" s="221">
        <f t="shared" si="4"/>
        <v>16</v>
      </c>
      <c r="T32" s="221">
        <f t="shared" si="5"/>
        <v>32</v>
      </c>
      <c r="U32" s="230">
        <f t="shared" si="6"/>
        <v>4</v>
      </c>
      <c r="V32" s="222">
        <f t="shared" si="7"/>
      </c>
      <c r="W32" s="223" t="s">
        <v>55</v>
      </c>
      <c r="Y32" s="224" t="str">
        <f>IF(A32="new.cod","NEWCOD",IF(AND((Z32=""),ISTEXT(A32)),A32,IF(Z32="","",INDEX('[1]liste reference'!$A$8:$A$904,Z32))))</f>
        <v>MYRSPI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373</v>
      </c>
      <c r="AA32" s="225"/>
      <c r="AB32" s="226"/>
      <c r="AC32" s="226"/>
      <c r="BB32" s="8">
        <f t="shared" si="8"/>
        <v>1</v>
      </c>
    </row>
    <row r="33" spans="1:54" ht="15">
      <c r="A33" s="233" t="s">
        <v>88</v>
      </c>
      <c r="B33" s="211">
        <v>0</v>
      </c>
      <c r="C33" s="211">
        <v>0.04439252336448598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Najas marina</v>
      </c>
      <c r="E33" s="227" t="e">
        <f>IF(D33="",,VLOOKUP(D33,D$22:D32,1,0))</f>
        <v>#N/A</v>
      </c>
      <c r="F33" s="228">
        <f t="shared" si="1"/>
        <v>0.04439252336448598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5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Najas marina</v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1835</v>
      </c>
      <c r="Q33" s="220">
        <f t="shared" si="2"/>
        <v>0.04439252336448598</v>
      </c>
      <c r="R33" s="221">
        <f t="shared" si="3"/>
        <v>1</v>
      </c>
      <c r="S33" s="221">
        <f t="shared" si="4"/>
        <v>5</v>
      </c>
      <c r="T33" s="221">
        <f t="shared" si="5"/>
        <v>15</v>
      </c>
      <c r="U33" s="230">
        <f t="shared" si="6"/>
        <v>3</v>
      </c>
      <c r="V33" s="222">
        <f t="shared" si="7"/>
      </c>
      <c r="W33" s="223" t="s">
        <v>55</v>
      </c>
      <c r="Y33" s="224" t="str">
        <f>IF(A33="new.cod","NEWCOD",IF(AND((Z33=""),ISTEXT(A33)),A33,IF(Z33="","",INDEX('[1]liste reference'!$A$8:$A$904,Z33))))</f>
        <v>NAJMAR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379</v>
      </c>
      <c r="AA33" s="225"/>
      <c r="AB33" s="226"/>
      <c r="AC33" s="226"/>
      <c r="BB33" s="8">
        <f t="shared" si="8"/>
        <v>1</v>
      </c>
    </row>
    <row r="34" spans="1:54" ht="15">
      <c r="A34" s="233" t="s">
        <v>89</v>
      </c>
      <c r="B34" s="211">
        <v>0</v>
      </c>
      <c r="C34" s="211">
        <v>2.441588785046729</v>
      </c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Potamogeton nodosus</v>
      </c>
      <c r="E34" s="227" t="e">
        <f>IF(D34="",,VLOOKUP(D34,D$22:D33,1,0))</f>
        <v>#N/A</v>
      </c>
      <c r="F34" s="234">
        <f t="shared" si="1"/>
        <v>2.441588785046729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5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4</v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7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Potamogeton nodosus</v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1652</v>
      </c>
      <c r="Q34" s="220">
        <f t="shared" si="2"/>
        <v>2.441588785046729</v>
      </c>
      <c r="R34" s="221">
        <f t="shared" si="3"/>
        <v>3</v>
      </c>
      <c r="S34" s="221">
        <f t="shared" si="4"/>
        <v>12</v>
      </c>
      <c r="T34" s="221">
        <f t="shared" si="5"/>
        <v>36</v>
      </c>
      <c r="U34" s="230">
        <f t="shared" si="6"/>
        <v>9</v>
      </c>
      <c r="V34" s="222">
        <f t="shared" si="7"/>
      </c>
      <c r="W34" s="223" t="s">
        <v>55</v>
      </c>
      <c r="Y34" s="224" t="str">
        <f>IF(A34="new.cod","NEWCOD",IF(AND((Z34=""),ISTEXT(A34)),A34,IF(Z34="","",INDEX('[1]liste reference'!$A$8:$A$904,Z34))))</f>
        <v>POTNOD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418</v>
      </c>
      <c r="AA34" s="225"/>
      <c r="AB34" s="226"/>
      <c r="AC34" s="226"/>
      <c r="BB34" s="8">
        <f t="shared" si="8"/>
        <v>1</v>
      </c>
    </row>
    <row r="35" spans="1:54" ht="15">
      <c r="A35" s="233" t="s">
        <v>90</v>
      </c>
      <c r="B35" s="211">
        <v>0</v>
      </c>
      <c r="C35" s="211">
        <v>5.016355140186915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Potamogeton pectinatus</v>
      </c>
      <c r="E35" s="227" t="e">
        <f>IF(D35="",,VLOOKUP(D35,D$22:D34,1,0))</f>
        <v>#N/A</v>
      </c>
      <c r="F35" s="234">
        <f t="shared" si="1"/>
        <v>5.016355140186915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5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2</v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7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Potamogeton pectinatus</v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1655</v>
      </c>
      <c r="Q35" s="220">
        <f t="shared" si="2"/>
        <v>5.016355140186915</v>
      </c>
      <c r="R35" s="221">
        <f t="shared" si="3"/>
        <v>3</v>
      </c>
      <c r="S35" s="221">
        <f t="shared" si="4"/>
        <v>6</v>
      </c>
      <c r="T35" s="221">
        <f t="shared" si="5"/>
        <v>12</v>
      </c>
      <c r="U35" s="230">
        <f t="shared" si="6"/>
        <v>6</v>
      </c>
      <c r="V35" s="222">
        <f t="shared" si="7"/>
      </c>
      <c r="W35" s="223" t="s">
        <v>55</v>
      </c>
      <c r="Y35" s="224" t="str">
        <f>IF(A35="new.cod","NEWCOD",IF(AND((Z35=""),ISTEXT(A35)),A35,IF(Z35="","",INDEX('[1]liste reference'!$A$8:$A$904,Z35))))</f>
        <v>POTPEC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421</v>
      </c>
      <c r="AA35" s="225"/>
      <c r="AB35" s="226"/>
      <c r="AC35" s="226"/>
      <c r="BB35" s="8">
        <f t="shared" si="8"/>
        <v>1</v>
      </c>
    </row>
    <row r="36" spans="1:54" ht="15">
      <c r="A36" s="233" t="s">
        <v>91</v>
      </c>
      <c r="B36" s="211">
        <v>0</v>
      </c>
      <c r="C36" s="211">
        <v>0.6658878504672897</v>
      </c>
      <c r="D36" s="212" t="str">
        <f>IF(ISERROR(VLOOKUP($A36,'[1]liste reference'!$A$7:$D$904,2,0)),IF(ISERROR(VLOOKUP($A36,'[1]liste reference'!$B$7:$D$904,1,0)),"",VLOOKUP($A36,'[1]liste reference'!$B$7:$D$904,1,0)),VLOOKUP($A36,'[1]liste reference'!$A$7:$D$904,2,0))</f>
        <v>Potamogeton perfoliatus</v>
      </c>
      <c r="E36" s="227" t="e">
        <f>IF(D36="",,VLOOKUP(D36,D$22:D35,1,0))</f>
        <v>#N/A</v>
      </c>
      <c r="F36" s="234">
        <f t="shared" si="1"/>
        <v>0.6658878504672897</v>
      </c>
      <c r="G36" s="214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5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9</v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7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Potamogeton perfoliatus</v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1656</v>
      </c>
      <c r="Q36" s="220">
        <f t="shared" si="2"/>
        <v>0.6658878504672897</v>
      </c>
      <c r="R36" s="221">
        <f t="shared" si="3"/>
        <v>2</v>
      </c>
      <c r="S36" s="221">
        <f t="shared" si="4"/>
        <v>18</v>
      </c>
      <c r="T36" s="221">
        <f t="shared" si="5"/>
        <v>36</v>
      </c>
      <c r="U36" s="230">
        <f t="shared" si="6"/>
        <v>4</v>
      </c>
      <c r="V36" s="222">
        <f t="shared" si="7"/>
      </c>
      <c r="W36" s="223" t="s">
        <v>55</v>
      </c>
      <c r="Y36" s="224" t="str">
        <f>IF(A36="new.cod","NEWCOD",IF(AND((Z36=""),ISTEXT(A36)),A36,IF(Z36="","",INDEX('[1]liste reference'!$A$8:$A$904,Z36))))</f>
        <v>POTPER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422</v>
      </c>
      <c r="AA36" s="225"/>
      <c r="AB36" s="226"/>
      <c r="AC36" s="226"/>
      <c r="BB36" s="8">
        <f t="shared" si="8"/>
        <v>1</v>
      </c>
    </row>
    <row r="37" spans="1:54" ht="15">
      <c r="A37" s="233" t="s">
        <v>92</v>
      </c>
      <c r="B37" s="211">
        <v>0</v>
      </c>
      <c r="C37" s="211">
        <v>0.7102803738317757</v>
      </c>
      <c r="D37" s="212" t="str">
        <f>IF(ISERROR(VLOOKUP($A37,'[1]liste reference'!$A$7:$D$904,2,0)),IF(ISERROR(VLOOKUP($A37,'[1]liste reference'!$B$7:$D$904,1,0)),"",VLOOKUP($A37,'[1]liste reference'!$B$7:$D$904,1,0)),VLOOKUP($A37,'[1]liste reference'!$A$7:$D$904,2,0))</f>
        <v>Vallisneria spiralis</v>
      </c>
      <c r="E37" s="227" t="e">
        <f>IF(D37="",,VLOOKUP(D37,D$22:D36,1,0))</f>
        <v>#N/A</v>
      </c>
      <c r="F37" s="234">
        <f t="shared" si="1"/>
        <v>0.7102803738317757</v>
      </c>
      <c r="G37" s="214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5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8</v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7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Vallisneria spiralis</v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1598</v>
      </c>
      <c r="Q37" s="220">
        <f t="shared" si="2"/>
        <v>0.7102803738317757</v>
      </c>
      <c r="R37" s="221">
        <f t="shared" si="3"/>
        <v>2</v>
      </c>
      <c r="S37" s="221">
        <f t="shared" si="4"/>
        <v>16</v>
      </c>
      <c r="T37" s="221">
        <f t="shared" si="5"/>
        <v>32</v>
      </c>
      <c r="U37" s="230">
        <f t="shared" si="6"/>
        <v>4</v>
      </c>
      <c r="V37" s="222">
        <f t="shared" si="7"/>
      </c>
      <c r="W37" s="223" t="s">
        <v>55</v>
      </c>
      <c r="Y37" s="224" t="str">
        <f>IF(A37="new.cod","NEWCOD",IF(AND((Z37=""),ISTEXT(A37)),A37,IF(Z37="","",INDEX('[1]liste reference'!$A$8:$A$904,Z37))))</f>
        <v>VALSPI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498</v>
      </c>
      <c r="AA37" s="225"/>
      <c r="AB37" s="226"/>
      <c r="AC37" s="226"/>
      <c r="BB37" s="8">
        <f t="shared" si="8"/>
        <v>1</v>
      </c>
    </row>
    <row r="38" spans="1:54" ht="15">
      <c r="A38" s="235" t="s">
        <v>93</v>
      </c>
      <c r="B38" s="211">
        <v>0</v>
      </c>
      <c r="C38" s="211">
        <v>0.0005</v>
      </c>
      <c r="D38" s="212" t="str">
        <f>IF(ISERROR(VLOOKUP($A38,'[1]liste reference'!$A$7:$D$904,2,0)),IF(ISERROR(VLOOKUP($A38,'[1]liste reference'!$B$7:$D$904,1,0)),"",VLOOKUP($A38,'[1]liste reference'!$B$7:$D$904,1,0)),VLOOKUP($A38,'[1]liste reference'!$A$7:$D$904,2,0))</f>
        <v>Iris pseudacorus</v>
      </c>
      <c r="E38" s="227" t="e">
        <f>IF(D38="",,VLOOKUP(D38,D$22:D37,1,0))</f>
        <v>#N/A</v>
      </c>
      <c r="F38" s="234">
        <f t="shared" si="1"/>
        <v>0.0005</v>
      </c>
      <c r="G38" s="214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5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10</v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7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Iris pseudacorus</v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1601</v>
      </c>
      <c r="Q38" s="220">
        <f t="shared" si="2"/>
        <v>0.0005</v>
      </c>
      <c r="R38" s="221">
        <f t="shared" si="3"/>
        <v>1</v>
      </c>
      <c r="S38" s="221">
        <f t="shared" si="4"/>
        <v>10</v>
      </c>
      <c r="T38" s="221">
        <f t="shared" si="5"/>
        <v>10</v>
      </c>
      <c r="U38" s="230">
        <f t="shared" si="6"/>
        <v>1</v>
      </c>
      <c r="V38" s="222">
        <f t="shared" si="7"/>
      </c>
      <c r="W38" s="223" t="s">
        <v>55</v>
      </c>
      <c r="Y38" s="224" t="str">
        <f>IF(A38="new.cod","NEWCOD",IF(AND((Z38=""),ISTEXT(A38)),A38,IF(Z38="","",INDEX('[1]liste reference'!$A$8:$A$904,Z38))))</f>
        <v>IRIPSE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582</v>
      </c>
      <c r="AA38" s="225"/>
      <c r="AB38" s="226"/>
      <c r="AC38" s="226"/>
      <c r="BB38" s="8">
        <f t="shared" si="8"/>
        <v>1</v>
      </c>
    </row>
    <row r="39" spans="1:54" ht="15">
      <c r="A39" s="235" t="s">
        <v>94</v>
      </c>
      <c r="B39" s="211">
        <v>0</v>
      </c>
      <c r="C39" s="211">
        <v>0.0005</v>
      </c>
      <c r="D39" s="212" t="str">
        <f>IF(ISERROR(VLOOKUP($A39,'[1]liste reference'!$A$7:$D$904,2,0)),IF(ISERROR(VLOOKUP($A39,'[1]liste reference'!$B$7:$D$904,1,0)),"",VLOOKUP($A39,'[1]liste reference'!$B$7:$D$904,1,0)),VLOOKUP($A39,'[1]liste reference'!$A$7:$D$904,2,0))</f>
        <v>Phalaris arundinacea</v>
      </c>
      <c r="E39" s="227" t="e">
        <f>IF(D39="",,VLOOKUP(D39,D$22:D38,1,0))</f>
        <v>#N/A</v>
      </c>
      <c r="F39" s="234">
        <f t="shared" si="1"/>
        <v>0.0005</v>
      </c>
      <c r="G39" s="214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5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10</v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1</v>
      </c>
      <c r="K39" s="217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Phalaris arundinacea</v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1577</v>
      </c>
      <c r="Q39" s="220">
        <f t="shared" si="2"/>
        <v>0.0005</v>
      </c>
      <c r="R39" s="221">
        <f t="shared" si="3"/>
        <v>1</v>
      </c>
      <c r="S39" s="221">
        <f t="shared" si="4"/>
        <v>10</v>
      </c>
      <c r="T39" s="221">
        <f t="shared" si="5"/>
        <v>10</v>
      </c>
      <c r="U39" s="230">
        <f t="shared" si="6"/>
        <v>1</v>
      </c>
      <c r="V39" s="222">
        <f t="shared" si="7"/>
      </c>
      <c r="W39" s="223" t="s">
        <v>55</v>
      </c>
      <c r="Y39" s="224" t="str">
        <f>IF(A39="new.cod","NEWCOD",IF(AND((Z39=""),ISTEXT(A39)),A39,IF(Z39="","",INDEX('[1]liste reference'!$A$8:$A$904,Z39))))</f>
        <v>PHAARU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634</v>
      </c>
      <c r="AA39" s="225"/>
      <c r="AB39" s="226"/>
      <c r="AC39" s="226"/>
      <c r="BB39" s="8">
        <f t="shared" si="8"/>
        <v>1</v>
      </c>
    </row>
    <row r="40" spans="1:54" ht="15">
      <c r="A40" s="235" t="s">
        <v>95</v>
      </c>
      <c r="B40" s="211">
        <v>0</v>
      </c>
      <c r="C40" s="211">
        <v>0.0005</v>
      </c>
      <c r="D40" s="212" t="str">
        <f>IF(ISERROR(VLOOKUP($A40,'[1]liste reference'!$A$7:$D$904,2,0)),IF(ISERROR(VLOOKUP($A40,'[1]liste reference'!$B$7:$D$904,1,0)),"",VLOOKUP($A40,'[1]liste reference'!$B$7:$D$904,1,0)),VLOOKUP($A40,'[1]liste reference'!$A$7:$D$904,2,0))</f>
        <v>Phragmites australis</v>
      </c>
      <c r="E40" s="227" t="e">
        <f>IF(D40="",,VLOOKUP(D40,D$22:D39,1,0))</f>
        <v>#N/A</v>
      </c>
      <c r="F40" s="234">
        <f t="shared" si="1"/>
        <v>0.0005</v>
      </c>
      <c r="G40" s="214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5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9</v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2</v>
      </c>
      <c r="K40" s="217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Phragmites australis</v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1579</v>
      </c>
      <c r="Q40" s="220">
        <f t="shared" si="2"/>
        <v>0.0005</v>
      </c>
      <c r="R40" s="221">
        <f t="shared" si="3"/>
        <v>1</v>
      </c>
      <c r="S40" s="221">
        <f t="shared" si="4"/>
        <v>9</v>
      </c>
      <c r="T40" s="221">
        <f t="shared" si="5"/>
        <v>18</v>
      </c>
      <c r="U40" s="230">
        <f t="shared" si="6"/>
        <v>2</v>
      </c>
      <c r="V40" s="222">
        <f t="shared" si="7"/>
      </c>
      <c r="W40" s="223" t="s">
        <v>55</v>
      </c>
      <c r="Y40" s="224" t="str">
        <f>IF(A40="new.cod","NEWCOD",IF(AND((Z40=""),ISTEXT(A40)),A40,IF(Z40="","",INDEX('[1]liste reference'!$A$8:$A$904,Z40))))</f>
        <v>PHRAUS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635</v>
      </c>
      <c r="AA40" s="225"/>
      <c r="AB40" s="226"/>
      <c r="AC40" s="226"/>
      <c r="BB40" s="8">
        <f t="shared" si="8"/>
        <v>1</v>
      </c>
    </row>
    <row r="41" spans="1:54" ht="15">
      <c r="A41" s="236" t="s">
        <v>96</v>
      </c>
      <c r="B41" s="211">
        <v>0</v>
      </c>
      <c r="C41" s="211">
        <v>0.0005</v>
      </c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IF(D41="",,VLOOKUP(D41,D$22:D40,1,0))</f>
        <v>0</v>
      </c>
      <c r="F41" s="234">
        <f t="shared" si="1"/>
        <v>0.0005</v>
      </c>
      <c r="G41" s="214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    -</v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Mougeotiopsis sp.</v>
      </c>
      <c r="L41" s="229"/>
      <c r="M41" s="229"/>
      <c r="N41" s="229"/>
      <c r="O41" s="219"/>
      <c r="P41" s="219" t="str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No</v>
      </c>
      <c r="Q41" s="220">
        <f t="shared" si="2"/>
      </c>
      <c r="R41" s="221">
        <f t="shared" si="3"/>
      </c>
      <c r="S41" s="221">
        <f t="shared" si="4"/>
        <v>0</v>
      </c>
      <c r="T41" s="221">
        <f t="shared" si="5"/>
        <v>0</v>
      </c>
      <c r="U41" s="230">
        <f t="shared" si="6"/>
        <v>0</v>
      </c>
      <c r="V41" s="222">
        <f t="shared" si="7"/>
      </c>
      <c r="W41" s="223" t="s">
        <v>55</v>
      </c>
      <c r="Y41" s="224" t="str">
        <f>IF(A41="new.cod","NEWCOD",IF(AND((Z41=""),ISTEXT(A41)),A41,IF(Z41="","",INDEX('[1]liste reference'!$A$8:$A$904,Z41))))</f>
        <v>newcod</v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 t="s">
        <v>97</v>
      </c>
      <c r="AC41" s="226"/>
      <c r="BB41" s="8">
        <f t="shared" si="8"/>
        <v>1</v>
      </c>
    </row>
    <row r="42" spans="1:54" ht="12.75">
      <c r="A42" s="237" t="s">
        <v>55</v>
      </c>
      <c r="B42" s="238"/>
      <c r="C42" s="23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4">
        <f t="shared" si="1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2"/>
      </c>
      <c r="R42" s="221">
        <f t="shared" si="3"/>
      </c>
      <c r="S42" s="221">
        <f t="shared" si="4"/>
        <v>0</v>
      </c>
      <c r="T42" s="221">
        <f t="shared" si="5"/>
        <v>0</v>
      </c>
      <c r="U42" s="230">
        <f t="shared" si="6"/>
        <v>0</v>
      </c>
      <c r="V42" s="222">
        <f t="shared" si="7"/>
      </c>
      <c r="W42" s="223" t="s">
        <v>55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8"/>
      </c>
    </row>
    <row r="43" spans="1:54" ht="12.75">
      <c r="A43" s="237" t="s">
        <v>55</v>
      </c>
      <c r="B43" s="238"/>
      <c r="C43" s="23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4">
        <f t="shared" si="1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2"/>
      </c>
      <c r="R43" s="221">
        <f t="shared" si="3"/>
      </c>
      <c r="S43" s="221">
        <f t="shared" si="4"/>
        <v>0</v>
      </c>
      <c r="T43" s="221">
        <f t="shared" si="5"/>
        <v>0</v>
      </c>
      <c r="U43" s="230">
        <f t="shared" si="6"/>
        <v>0</v>
      </c>
      <c r="V43" s="222">
        <f t="shared" si="7"/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8"/>
      </c>
    </row>
    <row r="44" spans="1:54" ht="12.75">
      <c r="A44" s="237" t="s">
        <v>55</v>
      </c>
      <c r="B44" s="238"/>
      <c r="C44" s="23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4">
        <f t="shared" si="1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2"/>
      </c>
      <c r="R44" s="221">
        <f t="shared" si="3"/>
      </c>
      <c r="S44" s="221">
        <f t="shared" si="4"/>
        <v>0</v>
      </c>
      <c r="T44" s="221">
        <f t="shared" si="5"/>
        <v>0</v>
      </c>
      <c r="U44" s="230">
        <f t="shared" si="6"/>
        <v>0</v>
      </c>
      <c r="V44" s="222">
        <f t="shared" si="7"/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8"/>
      </c>
    </row>
    <row r="45" spans="1:54" ht="12.75">
      <c r="A45" s="237" t="s">
        <v>55</v>
      </c>
      <c r="B45" s="238"/>
      <c r="C45" s="23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4">
        <f t="shared" si="1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2"/>
      </c>
      <c r="R45" s="221">
        <f t="shared" si="3"/>
      </c>
      <c r="S45" s="221">
        <f t="shared" si="4"/>
        <v>0</v>
      </c>
      <c r="T45" s="221">
        <f t="shared" si="5"/>
        <v>0</v>
      </c>
      <c r="U45" s="230">
        <f t="shared" si="6"/>
        <v>0</v>
      </c>
      <c r="V45" s="222">
        <f t="shared" si="7"/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8"/>
      </c>
    </row>
    <row r="46" spans="1:54" ht="12.75">
      <c r="A46" s="237" t="s">
        <v>55</v>
      </c>
      <c r="B46" s="238"/>
      <c r="C46" s="23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IF(D46="",,VLOOKUP(D46,D$22:D39,1,0))</f>
        <v>0</v>
      </c>
      <c r="F46" s="234">
        <f t="shared" si="1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2"/>
      </c>
      <c r="R46" s="221">
        <f t="shared" si="3"/>
      </c>
      <c r="S46" s="221">
        <f t="shared" si="4"/>
        <v>0</v>
      </c>
      <c r="T46" s="221">
        <f t="shared" si="5"/>
        <v>0</v>
      </c>
      <c r="U46" s="230">
        <f t="shared" si="6"/>
        <v>0</v>
      </c>
      <c r="V46" s="222">
        <f t="shared" si="7"/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8"/>
      </c>
    </row>
    <row r="47" spans="1:54" ht="12.75">
      <c r="A47" s="237" t="s">
        <v>55</v>
      </c>
      <c r="B47" s="238"/>
      <c r="C47" s="23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IF(D47="",,VLOOKUP(D47,D$22:D39,1,0))</f>
        <v>0</v>
      </c>
      <c r="F47" s="234">
        <f t="shared" si="1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2"/>
      </c>
      <c r="R47" s="221">
        <f t="shared" si="3"/>
      </c>
      <c r="S47" s="221">
        <f t="shared" si="4"/>
        <v>0</v>
      </c>
      <c r="T47" s="221">
        <f t="shared" si="5"/>
        <v>0</v>
      </c>
      <c r="U47" s="230">
        <f t="shared" si="6"/>
        <v>0</v>
      </c>
      <c r="V47" s="222">
        <f t="shared" si="7"/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8"/>
      </c>
    </row>
    <row r="48" spans="1:54" ht="12.75">
      <c r="A48" s="237" t="s">
        <v>55</v>
      </c>
      <c r="B48" s="238"/>
      <c r="C48" s="23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IF(D48="",,VLOOKUP(D48,D$22:D40,1,0))</f>
        <v>0</v>
      </c>
      <c r="F48" s="234">
        <f t="shared" si="1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2"/>
      </c>
      <c r="R48" s="221">
        <f t="shared" si="3"/>
      </c>
      <c r="S48" s="221">
        <f t="shared" si="4"/>
        <v>0</v>
      </c>
      <c r="T48" s="221">
        <f t="shared" si="5"/>
        <v>0</v>
      </c>
      <c r="U48" s="230">
        <f t="shared" si="6"/>
        <v>0</v>
      </c>
      <c r="V48" s="222">
        <f t="shared" si="7"/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8"/>
      </c>
    </row>
    <row r="49" spans="1:54" ht="12.75">
      <c r="A49" s="237" t="s">
        <v>55</v>
      </c>
      <c r="B49" s="238"/>
      <c r="C49" s="23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IF(D49="",,VLOOKUP(D49,D$22:D48,1,0))</f>
        <v>0</v>
      </c>
      <c r="F49" s="234">
        <f t="shared" si="1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2"/>
      </c>
      <c r="R49" s="221">
        <f t="shared" si="3"/>
      </c>
      <c r="S49" s="221">
        <f t="shared" si="4"/>
        <v>0</v>
      </c>
      <c r="T49" s="221">
        <f t="shared" si="5"/>
        <v>0</v>
      </c>
      <c r="U49" s="230">
        <f t="shared" si="6"/>
        <v>0</v>
      </c>
      <c r="V49" s="222">
        <f t="shared" si="7"/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8"/>
      </c>
    </row>
    <row r="50" spans="1:54" ht="12.75">
      <c r="A50" s="237" t="s">
        <v>55</v>
      </c>
      <c r="B50" s="238"/>
      <c r="C50" s="23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4">
        <f t="shared" si="1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2"/>
      </c>
      <c r="R50" s="221">
        <f t="shared" si="3"/>
      </c>
      <c r="S50" s="221">
        <f t="shared" si="4"/>
        <v>0</v>
      </c>
      <c r="T50" s="221">
        <f t="shared" si="5"/>
        <v>0</v>
      </c>
      <c r="U50" s="230">
        <f t="shared" si="6"/>
        <v>0</v>
      </c>
      <c r="V50" s="222">
        <f t="shared" si="7"/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8"/>
      </c>
    </row>
    <row r="51" spans="1:54" ht="12.75">
      <c r="A51" s="237" t="s">
        <v>55</v>
      </c>
      <c r="B51" s="238"/>
      <c r="C51" s="23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4">
        <f t="shared" si="1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9"/>
      <c r="M51" s="229"/>
      <c r="N51" s="229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2"/>
      </c>
      <c r="R51" s="221">
        <f t="shared" si="3"/>
      </c>
      <c r="S51" s="221">
        <f t="shared" si="4"/>
        <v>0</v>
      </c>
      <c r="T51" s="221">
        <f t="shared" si="5"/>
        <v>0</v>
      </c>
      <c r="U51" s="230">
        <f t="shared" si="6"/>
        <v>0</v>
      </c>
      <c r="V51" s="222">
        <f t="shared" si="7"/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8"/>
      </c>
    </row>
    <row r="52" spans="1:54" ht="12.75">
      <c r="A52" s="237" t="s">
        <v>55</v>
      </c>
      <c r="B52" s="238"/>
      <c r="C52" s="23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4">
        <f t="shared" si="1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9"/>
      <c r="M52" s="229"/>
      <c r="N52" s="229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2"/>
      </c>
      <c r="R52" s="221">
        <f t="shared" si="3"/>
      </c>
      <c r="S52" s="221">
        <f t="shared" si="4"/>
        <v>0</v>
      </c>
      <c r="T52" s="221">
        <f t="shared" si="5"/>
        <v>0</v>
      </c>
      <c r="U52" s="230">
        <f t="shared" si="6"/>
        <v>0</v>
      </c>
      <c r="V52" s="222">
        <f t="shared" si="7"/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8"/>
      </c>
    </row>
    <row r="53" spans="1:54" ht="12.75">
      <c r="A53" s="237" t="s">
        <v>55</v>
      </c>
      <c r="B53" s="238"/>
      <c r="C53" s="23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4">
        <f t="shared" si="1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2"/>
      </c>
      <c r="R53" s="221">
        <f t="shared" si="3"/>
      </c>
      <c r="S53" s="221">
        <f t="shared" si="4"/>
        <v>0</v>
      </c>
      <c r="T53" s="221">
        <f t="shared" si="5"/>
        <v>0</v>
      </c>
      <c r="U53" s="230">
        <f t="shared" si="6"/>
        <v>0</v>
      </c>
      <c r="V53" s="222">
        <f t="shared" si="7"/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8"/>
      </c>
    </row>
    <row r="54" spans="1:54" ht="12.75">
      <c r="A54" s="237" t="s">
        <v>55</v>
      </c>
      <c r="B54" s="238"/>
      <c r="C54" s="23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4">
        <f t="shared" si="1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2"/>
      </c>
      <c r="R54" s="221">
        <f t="shared" si="3"/>
      </c>
      <c r="S54" s="221">
        <f t="shared" si="4"/>
        <v>0</v>
      </c>
      <c r="T54" s="221">
        <f t="shared" si="5"/>
        <v>0</v>
      </c>
      <c r="U54" s="230">
        <f t="shared" si="6"/>
        <v>0</v>
      </c>
      <c r="V54" s="222">
        <f t="shared" si="7"/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8"/>
      </c>
    </row>
    <row r="55" spans="1:54" ht="12.75">
      <c r="A55" s="237" t="s">
        <v>55</v>
      </c>
      <c r="B55" s="238"/>
      <c r="C55" s="23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4">
        <f t="shared" si="1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2"/>
      </c>
      <c r="R55" s="221">
        <f t="shared" si="3"/>
      </c>
      <c r="S55" s="221">
        <f t="shared" si="4"/>
        <v>0</v>
      </c>
      <c r="T55" s="221">
        <f t="shared" si="5"/>
        <v>0</v>
      </c>
      <c r="U55" s="230">
        <f t="shared" si="6"/>
        <v>0</v>
      </c>
      <c r="V55" s="222">
        <f t="shared" si="7"/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8"/>
      </c>
    </row>
    <row r="56" spans="1:54" ht="12.75">
      <c r="A56" s="237" t="s">
        <v>55</v>
      </c>
      <c r="B56" s="238"/>
      <c r="C56" s="23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4">
        <f t="shared" si="1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2"/>
      </c>
      <c r="R56" s="221">
        <f t="shared" si="3"/>
      </c>
      <c r="S56" s="221">
        <f t="shared" si="4"/>
        <v>0</v>
      </c>
      <c r="T56" s="221">
        <f t="shared" si="5"/>
        <v>0</v>
      </c>
      <c r="U56" s="230">
        <f t="shared" si="6"/>
        <v>0</v>
      </c>
      <c r="V56" s="222">
        <f t="shared" si="7"/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8"/>
      </c>
    </row>
    <row r="57" spans="1:54" ht="12.75">
      <c r="A57" s="237" t="s">
        <v>55</v>
      </c>
      <c r="B57" s="238"/>
      <c r="C57" s="23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IF(D57="",,VLOOKUP(D57,D$21:D56,1,0))</f>
        <v>0</v>
      </c>
      <c r="F57" s="234">
        <f t="shared" si="1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2"/>
      </c>
      <c r="R57" s="221">
        <f t="shared" si="3"/>
      </c>
      <c r="S57" s="221">
        <f t="shared" si="4"/>
        <v>0</v>
      </c>
      <c r="T57" s="221">
        <f t="shared" si="5"/>
        <v>0</v>
      </c>
      <c r="U57" s="230">
        <f t="shared" si="6"/>
        <v>0</v>
      </c>
      <c r="V57" s="222">
        <f t="shared" si="7"/>
      </c>
      <c r="W57" s="223" t="s">
        <v>55</v>
      </c>
      <c r="X57" s="240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8"/>
      </c>
    </row>
    <row r="58" spans="1:54" ht="12.75">
      <c r="A58" s="237" t="s">
        <v>55</v>
      </c>
      <c r="B58" s="238"/>
      <c r="C58" s="23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4">
        <f t="shared" si="1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2"/>
      </c>
      <c r="R58" s="221">
        <f t="shared" si="3"/>
      </c>
      <c r="S58" s="221">
        <f t="shared" si="4"/>
        <v>0</v>
      </c>
      <c r="T58" s="221">
        <f t="shared" si="5"/>
        <v>0</v>
      </c>
      <c r="U58" s="230">
        <f t="shared" si="6"/>
        <v>0</v>
      </c>
      <c r="V58" s="222">
        <f t="shared" si="7"/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8"/>
      </c>
    </row>
    <row r="59" spans="1:54" ht="12.75">
      <c r="A59" s="237" t="s">
        <v>55</v>
      </c>
      <c r="B59" s="238"/>
      <c r="C59" s="23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4">
        <f t="shared" si="1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41"/>
      <c r="M59" s="241"/>
      <c r="N59" s="241"/>
      <c r="O59" s="219"/>
      <c r="P59" s="242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2"/>
      </c>
      <c r="R59" s="221">
        <f t="shared" si="3"/>
      </c>
      <c r="S59" s="221">
        <f t="shared" si="4"/>
        <v>0</v>
      </c>
      <c r="T59" s="221">
        <f t="shared" si="5"/>
        <v>0</v>
      </c>
      <c r="U59" s="230">
        <f t="shared" si="6"/>
        <v>0</v>
      </c>
      <c r="V59" s="222">
        <f t="shared" si="7"/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8"/>
      </c>
    </row>
    <row r="60" spans="1:54" ht="12.75">
      <c r="A60" s="237" t="s">
        <v>55</v>
      </c>
      <c r="B60" s="238"/>
      <c r="C60" s="23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4">
        <f t="shared" si="1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41"/>
      <c r="M60" s="241"/>
      <c r="N60" s="241"/>
      <c r="O60" s="219"/>
      <c r="P60" s="242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2"/>
      </c>
      <c r="R60" s="221">
        <f t="shared" si="3"/>
      </c>
      <c r="S60" s="221">
        <f t="shared" si="4"/>
        <v>0</v>
      </c>
      <c r="T60" s="221">
        <f t="shared" si="5"/>
        <v>0</v>
      </c>
      <c r="U60" s="230">
        <f t="shared" si="6"/>
        <v>0</v>
      </c>
      <c r="V60" s="222">
        <f t="shared" si="7"/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8"/>
      </c>
    </row>
    <row r="61" spans="1:54" ht="12.75">
      <c r="A61" s="237" t="s">
        <v>55</v>
      </c>
      <c r="B61" s="238"/>
      <c r="C61" s="23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4">
        <f t="shared" si="1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2"/>
      </c>
      <c r="R61" s="221">
        <f t="shared" si="3"/>
      </c>
      <c r="S61" s="221">
        <f t="shared" si="4"/>
        <v>0</v>
      </c>
      <c r="T61" s="221">
        <f t="shared" si="5"/>
        <v>0</v>
      </c>
      <c r="U61" s="230">
        <f t="shared" si="6"/>
        <v>0</v>
      </c>
      <c r="V61" s="222">
        <f t="shared" si="7"/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8"/>
      </c>
    </row>
    <row r="62" spans="1:54" ht="12.75">
      <c r="A62" s="237" t="s">
        <v>55</v>
      </c>
      <c r="B62" s="238"/>
      <c r="C62" s="23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4">
        <f t="shared" si="1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2"/>
      </c>
      <c r="R62" s="221">
        <f t="shared" si="3"/>
      </c>
      <c r="S62" s="221">
        <f t="shared" si="4"/>
        <v>0</v>
      </c>
      <c r="T62" s="221">
        <f t="shared" si="5"/>
        <v>0</v>
      </c>
      <c r="U62" s="230">
        <f t="shared" si="6"/>
        <v>0</v>
      </c>
      <c r="V62" s="222">
        <f t="shared" si="7"/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8"/>
      </c>
    </row>
    <row r="63" spans="1:54" ht="12.75" hidden="1">
      <c r="A63" s="237" t="s">
        <v>55</v>
      </c>
      <c r="B63" s="238"/>
      <c r="C63" s="23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4">
        <f t="shared" si="1"/>
        <v>0</v>
      </c>
      <c r="G63" s="243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4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2"/>
      </c>
      <c r="R63" s="221">
        <f t="shared" si="3"/>
      </c>
      <c r="S63" s="221">
        <f t="shared" si="4"/>
        <v>0</v>
      </c>
      <c r="T63" s="221">
        <f t="shared" si="5"/>
        <v>0</v>
      </c>
      <c r="U63" s="230">
        <f t="shared" si="6"/>
        <v>0</v>
      </c>
      <c r="V63" s="222">
        <f t="shared" si="7"/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8"/>
      </c>
    </row>
    <row r="64" spans="1:54" ht="12.75" customHeight="1" hidden="1">
      <c r="A64" s="237" t="s">
        <v>55</v>
      </c>
      <c r="B64" s="238"/>
      <c r="C64" s="23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4">
        <f t="shared" si="1"/>
        <v>0</v>
      </c>
      <c r="G64" s="245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6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2"/>
      </c>
      <c r="R64" s="221">
        <f t="shared" si="3"/>
      </c>
      <c r="S64" s="221">
        <f t="shared" si="4"/>
        <v>0</v>
      </c>
      <c r="T64" s="221">
        <f t="shared" si="5"/>
        <v>0</v>
      </c>
      <c r="U64" s="230">
        <f t="shared" si="6"/>
        <v>0</v>
      </c>
      <c r="V64" s="222">
        <f t="shared" si="7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8"/>
      </c>
    </row>
    <row r="65" spans="1:54" ht="12.75" hidden="1">
      <c r="A65" s="237" t="s">
        <v>55</v>
      </c>
      <c r="B65" s="238"/>
      <c r="C65" s="23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4">
        <f t="shared" si="1"/>
        <v>0</v>
      </c>
      <c r="G65" s="245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6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2"/>
      </c>
      <c r="R65" s="221">
        <f t="shared" si="3"/>
      </c>
      <c r="S65" s="221">
        <f t="shared" si="4"/>
        <v>0</v>
      </c>
      <c r="T65" s="221">
        <f t="shared" si="5"/>
        <v>0</v>
      </c>
      <c r="U65" s="230">
        <f t="shared" si="6"/>
        <v>0</v>
      </c>
      <c r="V65" s="222">
        <f t="shared" si="7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8"/>
      </c>
    </row>
    <row r="66" spans="1:54" ht="12.75" hidden="1">
      <c r="A66" s="237" t="s">
        <v>55</v>
      </c>
      <c r="B66" s="238"/>
      <c r="C66" s="23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4">
        <f t="shared" si="1"/>
        <v>0</v>
      </c>
      <c r="G66" s="245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6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2"/>
      </c>
      <c r="R66" s="221">
        <f t="shared" si="3"/>
      </c>
      <c r="S66" s="221">
        <f t="shared" si="4"/>
        <v>0</v>
      </c>
      <c r="T66" s="221">
        <f t="shared" si="5"/>
        <v>0</v>
      </c>
      <c r="U66" s="230">
        <f t="shared" si="6"/>
        <v>0</v>
      </c>
      <c r="V66" s="222">
        <f t="shared" si="7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8"/>
      </c>
    </row>
    <row r="67" spans="1:54" ht="12.75" hidden="1">
      <c r="A67" s="237" t="s">
        <v>55</v>
      </c>
      <c r="B67" s="238"/>
      <c r="C67" s="23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4">
        <f t="shared" si="1"/>
        <v>0</v>
      </c>
      <c r="G67" s="245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6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2"/>
      </c>
      <c r="R67" s="221">
        <f t="shared" si="3"/>
      </c>
      <c r="S67" s="221">
        <f t="shared" si="4"/>
        <v>0</v>
      </c>
      <c r="T67" s="221">
        <f t="shared" si="5"/>
        <v>0</v>
      </c>
      <c r="U67" s="230">
        <f t="shared" si="6"/>
        <v>0</v>
      </c>
      <c r="V67" s="222">
        <f t="shared" si="7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8"/>
      </c>
    </row>
    <row r="68" spans="1:54" ht="12.75" hidden="1">
      <c r="A68" s="237" t="s">
        <v>55</v>
      </c>
      <c r="B68" s="238"/>
      <c r="C68" s="23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4">
        <f t="shared" si="1"/>
        <v>0</v>
      </c>
      <c r="G68" s="245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6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2"/>
      </c>
      <c r="R68" s="221">
        <f t="shared" si="3"/>
      </c>
      <c r="S68" s="221">
        <f t="shared" si="4"/>
        <v>0</v>
      </c>
      <c r="T68" s="221">
        <f t="shared" si="5"/>
        <v>0</v>
      </c>
      <c r="U68" s="230">
        <f t="shared" si="6"/>
        <v>0</v>
      </c>
      <c r="V68" s="222">
        <f t="shared" si="7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8"/>
      </c>
    </row>
    <row r="69" spans="1:54" ht="12.75" hidden="1">
      <c r="A69" s="237" t="s">
        <v>55</v>
      </c>
      <c r="B69" s="238"/>
      <c r="C69" s="23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4">
        <f t="shared" si="1"/>
        <v>0</v>
      </c>
      <c r="G69" s="245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6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2"/>
      </c>
      <c r="R69" s="221">
        <f t="shared" si="3"/>
      </c>
      <c r="S69" s="221">
        <f t="shared" si="4"/>
        <v>0</v>
      </c>
      <c r="T69" s="221">
        <f t="shared" si="5"/>
        <v>0</v>
      </c>
      <c r="U69" s="230">
        <f t="shared" si="6"/>
        <v>0</v>
      </c>
      <c r="V69" s="222">
        <f t="shared" si="7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8"/>
      </c>
    </row>
    <row r="70" spans="1:54" ht="12.75" hidden="1">
      <c r="A70" s="237" t="s">
        <v>55</v>
      </c>
      <c r="B70" s="238"/>
      <c r="C70" s="23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4">
        <f t="shared" si="1"/>
        <v>0</v>
      </c>
      <c r="G70" s="245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6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2"/>
      </c>
      <c r="R70" s="221">
        <f t="shared" si="3"/>
      </c>
      <c r="S70" s="221">
        <f t="shared" si="4"/>
        <v>0</v>
      </c>
      <c r="T70" s="221">
        <f t="shared" si="5"/>
        <v>0</v>
      </c>
      <c r="U70" s="230">
        <f t="shared" si="6"/>
        <v>0</v>
      </c>
      <c r="V70" s="222">
        <f t="shared" si="7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8"/>
      </c>
    </row>
    <row r="71" spans="1:54" ht="12.75" hidden="1">
      <c r="A71" s="237" t="s">
        <v>55</v>
      </c>
      <c r="B71" s="238"/>
      <c r="C71" s="23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4">
        <f t="shared" si="1"/>
        <v>0</v>
      </c>
      <c r="G71" s="245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6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2"/>
      </c>
      <c r="R71" s="221">
        <f t="shared" si="3"/>
      </c>
      <c r="S71" s="221">
        <f t="shared" si="4"/>
        <v>0</v>
      </c>
      <c r="T71" s="221">
        <f t="shared" si="5"/>
        <v>0</v>
      </c>
      <c r="U71" s="230">
        <f t="shared" si="6"/>
        <v>0</v>
      </c>
      <c r="V71" s="222">
        <f t="shared" si="7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8"/>
      </c>
    </row>
    <row r="72" spans="1:54" ht="12.75" hidden="1">
      <c r="A72" s="237" t="s">
        <v>55</v>
      </c>
      <c r="B72" s="238"/>
      <c r="C72" s="23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4">
        <f t="shared" si="1"/>
        <v>0</v>
      </c>
      <c r="G72" s="245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6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2"/>
      </c>
      <c r="R72" s="221">
        <f t="shared" si="3"/>
      </c>
      <c r="S72" s="221">
        <f t="shared" si="4"/>
        <v>0</v>
      </c>
      <c r="T72" s="221">
        <f t="shared" si="5"/>
        <v>0</v>
      </c>
      <c r="U72" s="230">
        <f t="shared" si="6"/>
        <v>0</v>
      </c>
      <c r="V72" s="222">
        <f t="shared" si="7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8"/>
      </c>
    </row>
    <row r="73" spans="1:54" ht="12.75" hidden="1">
      <c r="A73" s="237" t="s">
        <v>55</v>
      </c>
      <c r="B73" s="238"/>
      <c r="C73" s="23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4">
        <f t="shared" si="1"/>
        <v>0</v>
      </c>
      <c r="G73" s="245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6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2"/>
      </c>
      <c r="R73" s="221">
        <f t="shared" si="3"/>
      </c>
      <c r="S73" s="221">
        <f t="shared" si="4"/>
        <v>0</v>
      </c>
      <c r="T73" s="221">
        <f t="shared" si="5"/>
        <v>0</v>
      </c>
      <c r="U73" s="230">
        <f t="shared" si="6"/>
        <v>0</v>
      </c>
      <c r="V73" s="222">
        <f t="shared" si="7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8"/>
      </c>
    </row>
    <row r="74" spans="1:54" ht="12.75" hidden="1">
      <c r="A74" s="237" t="s">
        <v>55</v>
      </c>
      <c r="B74" s="238"/>
      <c r="C74" s="23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4">
        <f t="shared" si="1"/>
        <v>0</v>
      </c>
      <c r="G74" s="245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6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2"/>
      </c>
      <c r="R74" s="221">
        <f t="shared" si="3"/>
      </c>
      <c r="S74" s="221">
        <f t="shared" si="4"/>
        <v>0</v>
      </c>
      <c r="T74" s="221">
        <f t="shared" si="5"/>
        <v>0</v>
      </c>
      <c r="U74" s="230">
        <f t="shared" si="6"/>
        <v>0</v>
      </c>
      <c r="V74" s="222">
        <f t="shared" si="7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8"/>
      </c>
    </row>
    <row r="75" spans="1:54" ht="12.75" hidden="1">
      <c r="A75" s="237" t="s">
        <v>55</v>
      </c>
      <c r="B75" s="238"/>
      <c r="C75" s="23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4">
        <f t="shared" si="1"/>
        <v>0</v>
      </c>
      <c r="G75" s="245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6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2"/>
      </c>
      <c r="R75" s="221">
        <f t="shared" si="3"/>
      </c>
      <c r="S75" s="221">
        <f t="shared" si="4"/>
        <v>0</v>
      </c>
      <c r="T75" s="221">
        <f t="shared" si="5"/>
        <v>0</v>
      </c>
      <c r="U75" s="230">
        <f t="shared" si="6"/>
        <v>0</v>
      </c>
      <c r="V75" s="222">
        <f t="shared" si="7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8"/>
      </c>
    </row>
    <row r="76" spans="1:54" ht="12.75" hidden="1">
      <c r="A76" s="237" t="s">
        <v>55</v>
      </c>
      <c r="B76" s="238"/>
      <c r="C76" s="23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4">
        <f t="shared" si="1"/>
        <v>0</v>
      </c>
      <c r="G76" s="245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6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2"/>
      </c>
      <c r="R76" s="221">
        <f t="shared" si="3"/>
      </c>
      <c r="S76" s="221">
        <f t="shared" si="4"/>
        <v>0</v>
      </c>
      <c r="T76" s="221">
        <f t="shared" si="5"/>
        <v>0</v>
      </c>
      <c r="U76" s="230">
        <f t="shared" si="6"/>
        <v>0</v>
      </c>
      <c r="V76" s="222">
        <f t="shared" si="7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8"/>
      </c>
    </row>
    <row r="77" spans="1:54" ht="12.75" hidden="1">
      <c r="A77" s="237" t="s">
        <v>55</v>
      </c>
      <c r="B77" s="238"/>
      <c r="C77" s="23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4">
        <f t="shared" si="1"/>
        <v>0</v>
      </c>
      <c r="G77" s="245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6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2"/>
      </c>
      <c r="R77" s="221">
        <f t="shared" si="3"/>
      </c>
      <c r="S77" s="221">
        <f t="shared" si="4"/>
        <v>0</v>
      </c>
      <c r="T77" s="221">
        <f t="shared" si="5"/>
        <v>0</v>
      </c>
      <c r="U77" s="230">
        <f t="shared" si="6"/>
        <v>0</v>
      </c>
      <c r="V77" s="222">
        <f t="shared" si="7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8"/>
      </c>
    </row>
    <row r="78" spans="1:54" ht="12.75" hidden="1">
      <c r="A78" s="237" t="s">
        <v>55</v>
      </c>
      <c r="B78" s="238"/>
      <c r="C78" s="23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4">
        <f t="shared" si="1"/>
        <v>0</v>
      </c>
      <c r="G78" s="245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6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2"/>
      </c>
      <c r="R78" s="221">
        <f t="shared" si="3"/>
      </c>
      <c r="S78" s="221">
        <f t="shared" si="4"/>
        <v>0</v>
      </c>
      <c r="T78" s="221">
        <f t="shared" si="5"/>
        <v>0</v>
      </c>
      <c r="U78" s="230">
        <f t="shared" si="6"/>
        <v>0</v>
      </c>
      <c r="V78" s="222">
        <f t="shared" si="7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8"/>
      </c>
    </row>
    <row r="79" spans="1:54" ht="12.75" hidden="1">
      <c r="A79" s="237" t="s">
        <v>55</v>
      </c>
      <c r="B79" s="238"/>
      <c r="C79" s="23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4">
        <f t="shared" si="1"/>
        <v>0</v>
      </c>
      <c r="G79" s="245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6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2"/>
      </c>
      <c r="R79" s="221">
        <f t="shared" si="3"/>
      </c>
      <c r="S79" s="221">
        <f t="shared" si="4"/>
        <v>0</v>
      </c>
      <c r="T79" s="221">
        <f t="shared" si="5"/>
        <v>0</v>
      </c>
      <c r="U79" s="230">
        <f t="shared" si="6"/>
        <v>0</v>
      </c>
      <c r="V79" s="222">
        <f t="shared" si="7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8"/>
      </c>
    </row>
    <row r="80" spans="1:54" ht="12.75" hidden="1">
      <c r="A80" s="237" t="s">
        <v>55</v>
      </c>
      <c r="B80" s="238"/>
      <c r="C80" s="23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4">
        <f t="shared" si="1"/>
        <v>0</v>
      </c>
      <c r="G80" s="245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6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2"/>
      </c>
      <c r="R80" s="221">
        <f t="shared" si="3"/>
      </c>
      <c r="S80" s="221">
        <f t="shared" si="4"/>
        <v>0</v>
      </c>
      <c r="T80" s="221">
        <f t="shared" si="5"/>
        <v>0</v>
      </c>
      <c r="U80" s="230">
        <f t="shared" si="6"/>
        <v>0</v>
      </c>
      <c r="V80" s="222">
        <f t="shared" si="7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8"/>
      </c>
    </row>
    <row r="81" spans="1:54" ht="12.75" hidden="1">
      <c r="A81" s="237" t="s">
        <v>55</v>
      </c>
      <c r="B81" s="238"/>
      <c r="C81" s="23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4">
        <f t="shared" si="1"/>
        <v>0</v>
      </c>
      <c r="G81" s="245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6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41"/>
      <c r="M81" s="241"/>
      <c r="N81" s="241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2"/>
      </c>
      <c r="R81" s="221">
        <f t="shared" si="3"/>
      </c>
      <c r="S81" s="221">
        <f t="shared" si="4"/>
        <v>0</v>
      </c>
      <c r="T81" s="221">
        <f t="shared" si="5"/>
        <v>0</v>
      </c>
      <c r="U81" s="230">
        <f t="shared" si="6"/>
        <v>0</v>
      </c>
      <c r="V81" s="222">
        <f t="shared" si="7"/>
      </c>
      <c r="W81" s="223" t="s">
        <v>55</v>
      </c>
      <c r="X81" s="247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8"/>
      </c>
    </row>
    <row r="82" spans="1:54" ht="12.75" hidden="1">
      <c r="A82" s="248" t="s">
        <v>55</v>
      </c>
      <c r="B82" s="249"/>
      <c r="C82" s="250"/>
      <c r="D82" s="251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2">
        <f>IF(D82="",,VLOOKUP(D82,D$20:D80,1,0))</f>
        <v>0</v>
      </c>
      <c r="F82" s="253">
        <f t="shared" si="1"/>
        <v>0</v>
      </c>
      <c r="G82" s="254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5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6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7"/>
      <c r="M82" s="257"/>
      <c r="N82" s="257"/>
      <c r="O82" s="258"/>
      <c r="P82" s="259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2"/>
      </c>
      <c r="R82" s="221">
        <f t="shared" si="3"/>
      </c>
      <c r="S82" s="221">
        <f t="shared" si="4"/>
        <v>0</v>
      </c>
      <c r="T82" s="221">
        <f t="shared" si="5"/>
        <v>0</v>
      </c>
      <c r="U82" s="230">
        <f t="shared" si="6"/>
        <v>0</v>
      </c>
      <c r="V82" s="222">
        <f t="shared" si="7"/>
      </c>
      <c r="W82" s="260" t="s">
        <v>55</v>
      </c>
      <c r="X82" s="261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8"/>
      </c>
    </row>
    <row r="83" spans="1:30" ht="15" hidden="1">
      <c r="A83" s="262" t="s">
        <v>98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3"/>
      <c r="Q83" s="263"/>
      <c r="R83" s="263"/>
      <c r="S83" s="263"/>
      <c r="T83" s="8"/>
      <c r="U83" s="8"/>
      <c r="V83" s="263"/>
      <c r="W83" s="263"/>
      <c r="X83" s="263"/>
      <c r="Y83" s="264"/>
      <c r="Z83" s="264"/>
      <c r="AA83" s="265"/>
      <c r="AB83" s="266"/>
      <c r="AC83" s="266"/>
      <c r="AD83" s="266"/>
    </row>
    <row r="84" spans="1:30" ht="12.75" hidden="1">
      <c r="A84" s="267" t="str">
        <f>A3</f>
        <v>Rhône</v>
      </c>
      <c r="B84" s="268" t="str">
        <f>C3</f>
        <v>Rhône à Saint Vallier</v>
      </c>
      <c r="C84" s="269">
        <f>A4</f>
        <v>41543</v>
      </c>
      <c r="D84" s="270">
        <f>IF(ISERROR(SUM($T$23:$T$82)/SUM($U$23:$U$82)),"",SUM($T$23:$T$82)/SUM($U$23:$U$82))</f>
        <v>7.446428571428571</v>
      </c>
      <c r="E84" s="271">
        <f>N13</f>
        <v>19</v>
      </c>
      <c r="F84" s="268">
        <f>N14</f>
        <v>17</v>
      </c>
      <c r="G84" s="268">
        <f>N15</f>
        <v>4</v>
      </c>
      <c r="H84" s="268">
        <f>N16</f>
        <v>9</v>
      </c>
      <c r="I84" s="268">
        <f>N17</f>
        <v>4</v>
      </c>
      <c r="J84" s="272">
        <f>N8</f>
        <v>8.235294117647058</v>
      </c>
      <c r="K84" s="270">
        <f>N9</f>
        <v>3.2089839287025543</v>
      </c>
      <c r="L84" s="271">
        <f>N10</f>
        <v>2</v>
      </c>
      <c r="M84" s="271">
        <f>N11</f>
        <v>13</v>
      </c>
      <c r="N84" s="270">
        <f>O8</f>
        <v>2</v>
      </c>
      <c r="O84" s="270">
        <f>O9</f>
        <v>0.6859943405700354</v>
      </c>
      <c r="P84" s="271">
        <f>O10</f>
        <v>1</v>
      </c>
      <c r="Q84" s="271">
        <f>O11</f>
        <v>3</v>
      </c>
      <c r="R84" s="271">
        <f>F21</f>
        <v>18.8671168224299</v>
      </c>
      <c r="S84" s="271">
        <f>K11</f>
        <v>0</v>
      </c>
      <c r="T84" s="271">
        <f>K12</f>
        <v>2</v>
      </c>
      <c r="U84" s="271">
        <f>K13</f>
        <v>5</v>
      </c>
      <c r="V84" s="273">
        <f>K14</f>
        <v>0</v>
      </c>
      <c r="W84" s="274">
        <f>K15</f>
        <v>11</v>
      </c>
      <c r="Z84" s="275"/>
      <c r="AA84" s="275"/>
      <c r="AB84" s="266"/>
      <c r="AC84" s="266"/>
      <c r="AD84" s="26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6" t="s">
        <v>99</v>
      </c>
      <c r="R86" s="8"/>
      <c r="S86" s="222"/>
      <c r="T86" s="8"/>
      <c r="U86" s="8"/>
      <c r="V86" s="8"/>
    </row>
    <row r="87" spans="16:22" ht="12.75" hidden="1">
      <c r="P87" s="8"/>
      <c r="Q87" s="8" t="s">
        <v>100</v>
      </c>
      <c r="R87" s="8"/>
      <c r="S87" s="222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101</v>
      </c>
      <c r="R88" s="8"/>
      <c r="S88" s="222">
        <f>VLOOKUP((S87),($S$23:$U$82),2,0)</f>
        <v>78</v>
      </c>
      <c r="T88" s="8"/>
      <c r="U88" s="8"/>
      <c r="V88" s="8"/>
    </row>
    <row r="89" spans="17:20" ht="12.75" hidden="1">
      <c r="Q89" s="8" t="s">
        <v>102</v>
      </c>
      <c r="R89" s="8"/>
      <c r="S89" s="222">
        <f>VLOOKUP((S87),($S$23:$U$82),3,0)</f>
        <v>6</v>
      </c>
      <c r="T89" s="8"/>
    </row>
    <row r="90" spans="17:20" ht="12.75">
      <c r="Q90" s="8" t="s">
        <v>103</v>
      </c>
      <c r="R90" s="8"/>
      <c r="S90" s="277">
        <f>IF(ISERROR(SUM($T$23:$T$82)/SUM($U$23:$U$82)),"",(SUM($T$23:$T$82)-S88)/(SUM($U$23:$U$82)-S89))</f>
        <v>6.78</v>
      </c>
      <c r="T90" s="8"/>
    </row>
    <row r="91" spans="17:21" ht="12.75">
      <c r="Q91" s="221" t="s">
        <v>104</v>
      </c>
      <c r="R91" s="221"/>
      <c r="S91" s="221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6"/>
    </row>
    <row r="92" spans="17:20" ht="12.75">
      <c r="Q92" s="8" t="s">
        <v>105</v>
      </c>
      <c r="R92" s="8"/>
      <c r="S92" s="8">
        <f>MATCH(S87,$S$23:$S$82,0)</f>
        <v>1</v>
      </c>
      <c r="T92" s="8"/>
    </row>
    <row r="93" spans="17:20" ht="12.75">
      <c r="Q93" s="221" t="s">
        <v>106</v>
      </c>
      <c r="R93" s="8"/>
      <c r="S93" s="221" t="str">
        <f>INDEX($A$23:$A$82,$S$92)</f>
        <v>PHOSPX</v>
      </c>
      <c r="T93" s="8"/>
    </row>
    <row r="94" ht="12.75">
      <c r="S94" s="266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42:A82">
    <cfRule type="expression" priority="5" dxfId="1" stopIfTrue="1">
      <formula>ISTEXT($E42)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41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2014-01-21T13:55:23Z</dcterms:created>
  <dcterms:modified xsi:type="dcterms:W3CDTF">2014-01-21T13:55:34Z</dcterms:modified>
  <cp:category/>
  <cp:version/>
  <cp:contentType/>
  <cp:contentStatus/>
</cp:coreProperties>
</file>