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<sst xmlns="http://schemas.openxmlformats.org/spreadsheetml/2006/main" count="215" uniqueCount="110">
  <si>
    <t>Relevés floristiques aquatiques - IBMR</t>
  </si>
  <si>
    <t>modèle Irstea-GIS</t>
  </si>
  <si>
    <t>SAGE</t>
  </si>
  <si>
    <t>M.SCHNEIDER S.RENAHY</t>
  </si>
  <si>
    <t>RHONE</t>
  </si>
  <si>
    <t>RHONE A ST VALLIER</t>
  </si>
  <si>
    <t>06104000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</si>
  <si>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</si>
  <si>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</si>
  <si>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</si>
  <si>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</si>
  <si>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</si>
  <si>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</si>
  <si>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</si>
  <si>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</si>
  <si>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</si>
  <si>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</si>
  <si>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</si>
  <si>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</si>
  <si>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</si>
  <si>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</si>
  <si>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</si>
  <si>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</si>
  <si>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</si>
  <si>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</si>
  <si>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</si>
  <si>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</si>
  <si>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</si>
  <si>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</si>
  <si>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</si>
  <si>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</si>
  <si>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</si>
  <si>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</si>
  <si>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</si>
  <si>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</si>
  <si>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</si>
  <si>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</si>
  <si>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</si>
  <si>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</si>
  <si>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</si>
  <si>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</si>
  <si>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</si>
  <si>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</si>
  <si>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</si>
  <si>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</si>
  <si>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</si>
  <si>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</si>
  <si>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</si>
  <si>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</si>
  <si>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</si>
  <si>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</si>
  <si>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</si>
  <si>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</si>
  <si>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</si>
  <si>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</si>
  <si>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</si>
  <si>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</si>
  <si>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</si>
  <si>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</si>
  <si>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</si>
  <si>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</si>
  <si>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</si>
  <si>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</si>
  <si>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</si>
  <si>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</si>
  <si>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</si>
  <si>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</si>
  <si>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</si>
  <si>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</si>
  <si>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</si>
  <si>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</si>
  <si>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</si>
  <si>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</si>
  <si>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</si>
  <si>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</si>
  <si>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</si>
  <si>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</si>
  <si>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</si>
  <si>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</si>
  <si>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</si>
  <si>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</si>
  <si>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HYISPX</t>
  </si>
  <si>
    <t>LYNSPX</t>
  </si>
  <si>
    <t>OEDSPX</t>
  </si>
  <si>
    <t>PHOSPX</t>
  </si>
  <si>
    <t>SPISPX</t>
  </si>
  <si>
    <t>CINFON</t>
  </si>
  <si>
    <t>CINRIP</t>
  </si>
  <si>
    <t>FONANT</t>
  </si>
  <si>
    <t>LEORIP</t>
  </si>
  <si>
    <t>OXYHIA</t>
  </si>
  <si>
    <t>CERDEM</t>
  </si>
  <si>
    <t>EGEDEN</t>
  </si>
  <si>
    <t>ELONUT</t>
  </si>
  <si>
    <t>MYRSPI</t>
  </si>
  <si>
    <t>NAJMAR</t>
  </si>
  <si>
    <t>POTPEC</t>
  </si>
  <si>
    <t>POTPER</t>
  </si>
  <si>
    <t>SPRPOL</t>
  </si>
  <si>
    <t>VALSPI</t>
  </si>
  <si>
    <t>PHRAUS</t>
  </si>
  <si>
    <t>IRISPX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</si>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</sst>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VA_10-09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B22" sqref="AB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42257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6.518518518518518</v>
      </c>
      <c r="N5" s="50"/>
      <c r="O5" s="51" t="s">
        <v>16</v>
      </c>
      <c r="P5" s="52">
        <v>6.956521739130435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/>
      <c r="D6" s="56"/>
      <c r="E6" s="56"/>
      <c r="F6" s="57"/>
      <c r="G6" s="45"/>
      <c r="H6" s="43"/>
      <c r="I6" s="5"/>
      <c r="J6" s="58"/>
      <c r="K6" s="59"/>
      <c r="L6" s="60" t="s">
        <v>19</v>
      </c>
      <c r="M6" s="61" t="s">
        <v>20</v>
      </c>
      <c r="N6" s="62"/>
      <c r="O6" s="63">
        <v>1</v>
      </c>
      <c r="P6" s="64" t="s">
        <v>20</v>
      </c>
      <c r="Q6" s="65"/>
      <c r="R6" s="5"/>
      <c r="S6" s="5"/>
      <c r="T6" s="5"/>
      <c r="U6" s="5"/>
      <c r="V6" s="5"/>
      <c r="W6" s="20"/>
    </row>
    <row r="7" spans="1:23" ht="12.75">
      <c r="A7" s="66" t="s">
        <v>21</v>
      </c>
      <c r="B7" s="67">
        <v>100</v>
      </c>
      <c r="C7" s="68"/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22</v>
      </c>
      <c r="P7" s="77" t="s">
        <v>23</v>
      </c>
      <c r="Q7" s="78"/>
      <c r="R7" s="5"/>
      <c r="S7" s="5"/>
      <c r="T7" s="5"/>
      <c r="U7" s="5"/>
      <c r="V7" s="5"/>
      <c r="W7" s="20"/>
    </row>
    <row r="8" spans="1:23" ht="12.75">
      <c r="A8" s="79" t="s">
        <v>24</v>
      </c>
      <c r="B8" s="80"/>
      <c r="C8" s="81"/>
      <c r="D8" s="56"/>
      <c r="E8" s="56"/>
      <c r="F8" s="82" t="s">
        <v>25</v>
      </c>
      <c r="G8" s="83"/>
      <c r="H8" s="56"/>
      <c r="I8" s="5"/>
      <c r="J8" s="71"/>
      <c r="K8" s="72"/>
      <c r="L8" s="73"/>
      <c r="M8" s="74"/>
      <c r="N8" s="84" t="s">
        <v>26</v>
      </c>
      <c r="O8" s="85">
        <f>IF(ISERROR(AVERAGE(J23:J82))," ",AVERAGE(J23:J82))</f>
        <v>7.75</v>
      </c>
      <c r="P8" s="85">
        <f>IF(ISERROR(AVERAGE(K23:K82)),"  ",AVERAGE(K23:K82))</f>
        <v>1.95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27</v>
      </c>
      <c r="B9" s="87">
        <v>51.14</v>
      </c>
      <c r="C9" s="88"/>
      <c r="D9" s="89"/>
      <c r="E9" s="89"/>
      <c r="F9" s="90">
        <f>($B9*$B$7+$C9*$C$7)/100</f>
        <v>51.14</v>
      </c>
      <c r="G9" s="91"/>
      <c r="H9" s="43"/>
      <c r="I9" s="5"/>
      <c r="J9" s="92"/>
      <c r="K9" s="93"/>
      <c r="L9" s="73"/>
      <c r="M9" s="94"/>
      <c r="N9" s="84" t="s">
        <v>28</v>
      </c>
      <c r="O9" s="85">
        <f>IF(ISERROR(STDEVP(J23:J82))," ",STDEVP(J23:J82))</f>
        <v>2.947456530637899</v>
      </c>
      <c r="P9" s="85">
        <f>IF(ISERROR(STDEVP(K23:K82)),"  ",STDEVP(K23:K82))</f>
        <v>0.49749371855331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29</v>
      </c>
      <c r="B10" s="95" t="s">
        <v>30</v>
      </c>
      <c r="C10" s="96"/>
      <c r="D10" s="89"/>
      <c r="E10" s="89"/>
      <c r="F10" s="90"/>
      <c r="G10" s="91"/>
      <c r="H10" s="56"/>
      <c r="I10" s="5"/>
      <c r="J10" s="97"/>
      <c r="K10" s="98" t="s">
        <v>31</v>
      </c>
      <c r="L10" s="99"/>
      <c r="M10" s="100"/>
      <c r="N10" s="84" t="s">
        <v>32</v>
      </c>
      <c r="O10" s="101">
        <f>MIN(J23:J82)</f>
        <v>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33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34</v>
      </c>
      <c r="K11" s="109"/>
      <c r="L11" s="110">
        <f>COUNTIF($G$23:$G$82,"=HET")</f>
        <v>0</v>
      </c>
      <c r="M11" s="111"/>
      <c r="N11" s="84" t="s">
        <v>35</v>
      </c>
      <c r="O11" s="101">
        <f>MAX(J23:J82)</f>
        <v>13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36</v>
      </c>
      <c r="B12" s="113">
        <v>0.61</v>
      </c>
      <c r="C12" s="114"/>
      <c r="D12" s="89"/>
      <c r="E12" s="89"/>
      <c r="F12" s="106">
        <f>($B12*$B$7+$C12*$C$7)/100</f>
        <v>0.61</v>
      </c>
      <c r="G12" s="107"/>
      <c r="H12" s="56"/>
      <c r="I12" s="5"/>
      <c r="J12" s="108" t="s">
        <v>37</v>
      </c>
      <c r="K12" s="109"/>
      <c r="L12" s="110">
        <f>COUNTIF($G$23:$G$82,"=ALG")</f>
        <v>6</v>
      </c>
      <c r="M12" s="111"/>
      <c r="N12" s="115"/>
      <c r="O12" s="116" t="s">
        <v>31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38</v>
      </c>
      <c r="B13" s="113">
        <v>0.01</v>
      </c>
      <c r="C13" s="114"/>
      <c r="D13" s="89"/>
      <c r="E13" s="89"/>
      <c r="F13" s="106">
        <f>($B13*$B$7+$C13*$C$7)/100</f>
        <v>0.01</v>
      </c>
      <c r="G13" s="107"/>
      <c r="H13" s="56"/>
      <c r="I13" s="5"/>
      <c r="J13" s="119" t="s">
        <v>39</v>
      </c>
      <c r="K13" s="109"/>
      <c r="L13" s="110">
        <f>COUNTIF($G$23:$G$82,"=BRm")+COUNTIF($G$23:$G$82,"=BRh")</f>
        <v>5</v>
      </c>
      <c r="M13" s="111"/>
      <c r="N13" s="120" t="s">
        <v>40</v>
      </c>
      <c r="O13" s="121">
        <f>COUNTIF(F23:F82,"&gt;0")</f>
        <v>23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41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42</v>
      </c>
      <c r="K14" s="109"/>
      <c r="L14" s="110">
        <f>COUNTIF($G$23:$G$82,"=PTE")+COUNTIF($G$23:$G$82,"=LIC")</f>
        <v>0</v>
      </c>
      <c r="M14" s="111"/>
      <c r="N14" s="123" t="s">
        <v>43</v>
      </c>
      <c r="O14" s="124">
        <f>COUNTIF($J$23:$J$82,"&gt;-1")</f>
        <v>20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44</v>
      </c>
      <c r="B15" s="127">
        <v>50.52</v>
      </c>
      <c r="C15" s="128"/>
      <c r="D15" s="89"/>
      <c r="E15" s="89"/>
      <c r="F15" s="106">
        <f>($B15*$B$7+$C15*$C$7)/100</f>
        <v>50.52</v>
      </c>
      <c r="G15" s="107"/>
      <c r="H15" s="56"/>
      <c r="I15" s="5"/>
      <c r="J15" s="119" t="s">
        <v>45</v>
      </c>
      <c r="K15" s="109"/>
      <c r="L15" s="110">
        <f>(COUNTIF($G$23:$G$82,"=PHy"))+(COUNTIF($G$23:$G$82,"=PHe"))+(COUNTIF($G$23:$G$82,"=PHg"))+(COUNTIF($G$23:$G$82,"=PHx"))</f>
        <v>12</v>
      </c>
      <c r="M15" s="111"/>
      <c r="N15" s="120" t="s">
        <v>46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47</v>
      </c>
      <c r="B16" s="104">
        <v>0.63</v>
      </c>
      <c r="C16" s="105"/>
      <c r="D16" s="89"/>
      <c r="E16" s="89"/>
      <c r="F16" s="129"/>
      <c r="G16" s="130">
        <f>($B16*$B$7+$C16*$C$7)/100</f>
        <v>0.63</v>
      </c>
      <c r="H16" s="56"/>
      <c r="I16" s="5"/>
      <c r="J16" s="131"/>
      <c r="K16" s="132"/>
      <c r="L16" s="132"/>
      <c r="M16" s="111"/>
      <c r="N16" s="120" t="s">
        <v>48</v>
      </c>
      <c r="O16" s="121">
        <f>COUNTIF(K23:K82,"=2")</f>
        <v>15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49</v>
      </c>
      <c r="B17" s="113">
        <v>50.5</v>
      </c>
      <c r="C17" s="114"/>
      <c r="D17" s="89"/>
      <c r="E17" s="89"/>
      <c r="F17" s="133"/>
      <c r="G17" s="134">
        <f>($B17*$B$7+$C17*$C$7)/100</f>
        <v>50.5</v>
      </c>
      <c r="H17" s="56"/>
      <c r="I17" s="5"/>
      <c r="J17" s="135"/>
      <c r="K17" s="136"/>
      <c r="L17" s="137" t="s">
        <v>50</v>
      </c>
      <c r="M17" s="138">
        <f>IF(ISERROR((O13-(COUNTIF(J23:J82,"nc")))/O13),"-",(O13-(COUNTIF(J23:J82,"nc")))/O13)</f>
        <v>0.8695652173913043</v>
      </c>
      <c r="N17" s="120" t="s">
        <v>51</v>
      </c>
      <c r="O17" s="121">
        <f>COUNTIF(K23:K82,"=3")</f>
        <v>2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52</v>
      </c>
      <c r="B18" s="142">
        <v>0.01</v>
      </c>
      <c r="C18" s="143"/>
      <c r="D18" s="89"/>
      <c r="E18" s="144" t="s">
        <v>53</v>
      </c>
      <c r="F18" s="133"/>
      <c r="G18" s="134">
        <f>($B18*$B$7+$C18*$C$7)/100</f>
        <v>0.01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54</v>
      </c>
      <c r="X18" s="9" t="s">
        <v>54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51.14</v>
      </c>
      <c r="G19" s="157">
        <f>SUM(G16:G18)</f>
        <v>51.14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54</v>
      </c>
      <c r="X19" s="9" t="s">
        <v>54</v>
      </c>
    </row>
    <row r="20" spans="1:23" ht="12.75">
      <c r="A20" s="165" t="s">
        <v>55</v>
      </c>
      <c r="B20" s="166">
        <f>SUM(B23:B62)</f>
        <v>51.14122432432433</v>
      </c>
      <c r="C20" s="167">
        <f>SUM(C23:C62)</f>
        <v>0</v>
      </c>
      <c r="D20" s="168"/>
      <c r="E20" s="169" t="s">
        <v>53</v>
      </c>
      <c r="F20" s="170">
        <f>($B20*$B$7+$C20*$C$7)/100</f>
        <v>51.14122432432433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56</v>
      </c>
      <c r="B21" s="178">
        <f>B20*B7/100</f>
        <v>51.14122432432433</v>
      </c>
      <c r="C21" s="178">
        <f>C20*C7/100</f>
        <v>0</v>
      </c>
      <c r="D21" s="179" t="s">
        <v>57</v>
      </c>
      <c r="E21" s="180"/>
      <c r="F21" s="181">
        <f>B21+C21</f>
        <v>51.14122432432433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58</v>
      </c>
    </row>
    <row r="22" spans="1:26" ht="12.75">
      <c r="A22" s="190" t="s">
        <v>59</v>
      </c>
      <c r="B22" s="191" t="s">
        <v>60</v>
      </c>
      <c r="C22" s="191" t="s">
        <v>60</v>
      </c>
      <c r="D22" s="192"/>
      <c r="E22" s="193"/>
      <c r="F22" s="194" t="s">
        <v>61</v>
      </c>
      <c r="G22" s="195" t="s">
        <v>62</v>
      </c>
      <c r="H22" s="89" t="s">
        <v>63</v>
      </c>
      <c r="I22" s="5" t="s">
        <v>64</v>
      </c>
      <c r="J22" s="196" t="s">
        <v>65</v>
      </c>
      <c r="K22" s="196" t="s">
        <v>66</v>
      </c>
      <c r="L22" s="197" t="s">
        <v>67</v>
      </c>
      <c r="M22" s="197"/>
      <c r="N22" s="197"/>
      <c r="O22" s="197"/>
      <c r="P22" s="189" t="s">
        <v>68</v>
      </c>
      <c r="Q22" s="198" t="s">
        <v>69</v>
      </c>
      <c r="R22" s="199" t="s">
        <v>70</v>
      </c>
      <c r="S22" s="200" t="s">
        <v>71</v>
      </c>
      <c r="T22" s="201" t="s">
        <v>72</v>
      </c>
      <c r="U22" s="201" t="s">
        <v>73</v>
      </c>
      <c r="V22" s="202" t="s">
        <v>74</v>
      </c>
      <c r="W22" s="203" t="s">
        <v>75</v>
      </c>
      <c r="X22" s="204" t="s">
        <v>76</v>
      </c>
      <c r="Y22" s="205" t="s">
        <v>77</v>
      </c>
      <c r="Z22" s="205" t="s">
        <v>78</v>
      </c>
    </row>
    <row r="23" spans="1:26" ht="12.75">
      <c r="A23" s="206" t="s">
        <v>79</v>
      </c>
      <c r="B23" s="207">
        <v>0.1963756756756757</v>
      </c>
      <c r="C23" s="208"/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0.1963756756756757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0.1963756756756757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81</v>
      </c>
      <c r="B24" s="225">
        <v>0.1256756756756757</v>
      </c>
      <c r="C24" s="226"/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Hydrodictyon sp.</v>
      </c>
      <c r="E24" s="228" t="e">
        <f>IF(D24="",,VLOOKUP(D24,D$22:D23,1,0))</f>
        <v>#N/A</v>
      </c>
      <c r="F24" s="229">
        <f t="shared" si="0"/>
        <v>0.1256756756756757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Hydrodictyon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5686</v>
      </c>
      <c r="R24" s="219">
        <f t="shared" si="2"/>
        <v>0.1256756756756757</v>
      </c>
      <c r="S24" s="220">
        <f t="shared" si="3"/>
        <v>2</v>
      </c>
      <c r="T24" s="220">
        <f t="shared" si="4"/>
        <v>12</v>
      </c>
      <c r="U24" s="220">
        <f t="shared" si="5"/>
        <v>24</v>
      </c>
      <c r="V24" s="236">
        <f t="shared" si="6"/>
        <v>4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HYISPX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55</v>
      </c>
    </row>
    <row r="25" spans="1:26" ht="12.75">
      <c r="A25" s="224" t="s">
        <v>82</v>
      </c>
      <c r="B25" s="225">
        <v>0.0007000000000000001</v>
      </c>
      <c r="C25" s="226"/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Lyngbya sp.</v>
      </c>
      <c r="E25" s="228" t="e">
        <f>IF(D25="",,VLOOKUP(D25,D$22:D24,1,0))</f>
        <v>#N/A</v>
      </c>
      <c r="F25" s="229">
        <f t="shared" si="0"/>
        <v>0.0007000000000000001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Lyngbya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1107</v>
      </c>
      <c r="R25" s="219">
        <f t="shared" si="2"/>
        <v>0.0007000000000000001</v>
      </c>
      <c r="S25" s="220">
        <f t="shared" si="3"/>
        <v>1</v>
      </c>
      <c r="T25" s="220">
        <f t="shared" si="4"/>
        <v>10</v>
      </c>
      <c r="U25" s="220">
        <f t="shared" si="5"/>
        <v>20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LYNSPX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61</v>
      </c>
    </row>
    <row r="26" spans="1:26" ht="12.75">
      <c r="A26" s="224" t="s">
        <v>83</v>
      </c>
      <c r="B26" s="225">
        <v>0.1270756756756757</v>
      </c>
      <c r="C26" s="226"/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Oedogonium sp.</v>
      </c>
      <c r="E26" s="228" t="e">
        <f>IF(D26="",,VLOOKUP(D26,D$22:D25,1,0))</f>
        <v>#N/A</v>
      </c>
      <c r="F26" s="229">
        <f t="shared" si="0"/>
        <v>0.1270756756756757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6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Oedogonium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1134</v>
      </c>
      <c r="R26" s="219">
        <f t="shared" si="2"/>
        <v>0.1270756756756757</v>
      </c>
      <c r="S26" s="220">
        <f t="shared" si="3"/>
        <v>2</v>
      </c>
      <c r="T26" s="220">
        <f t="shared" si="4"/>
        <v>12</v>
      </c>
      <c r="U26" s="220">
        <f t="shared" si="5"/>
        <v>24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OEDSPX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85</v>
      </c>
    </row>
    <row r="27" spans="1:26" ht="12.75">
      <c r="A27" s="224" t="s">
        <v>84</v>
      </c>
      <c r="B27" s="225">
        <v>0.03710000000000001</v>
      </c>
      <c r="C27" s="226"/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Phormidium sp.</v>
      </c>
      <c r="E27" s="228" t="e">
        <f>IF(D27="",,VLOOKUP(D27,D$22:D26,1,0))</f>
        <v>#N/A</v>
      </c>
      <c r="F27" s="229">
        <f t="shared" si="0"/>
        <v>0.03710000000000001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Phormidium sp.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6414</v>
      </c>
      <c r="R27" s="219">
        <f t="shared" si="2"/>
        <v>0.03710000000000001</v>
      </c>
      <c r="S27" s="220">
        <f t="shared" si="3"/>
        <v>1</v>
      </c>
      <c r="T27" s="220">
        <f t="shared" si="4"/>
        <v>13</v>
      </c>
      <c r="U27" s="220">
        <f t="shared" si="5"/>
        <v>26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PHOSPX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88</v>
      </c>
    </row>
    <row r="28" spans="1:26" ht="12.75">
      <c r="A28" s="224" t="s">
        <v>85</v>
      </c>
      <c r="B28" s="225">
        <v>0.1263756756756757</v>
      </c>
      <c r="C28" s="226"/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Spirogyra sp.</v>
      </c>
      <c r="E28" s="228" t="e">
        <f>IF(D28="",,VLOOKUP(D28,D$22:D27,1,0))</f>
        <v>#N/A</v>
      </c>
      <c r="F28" s="229">
        <f t="shared" si="0"/>
        <v>0.1263756756756757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10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Spirogyra sp.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1147</v>
      </c>
      <c r="R28" s="219">
        <f t="shared" si="2"/>
        <v>0.1263756756756757</v>
      </c>
      <c r="S28" s="220">
        <f t="shared" si="3"/>
        <v>2</v>
      </c>
      <c r="T28" s="220">
        <f t="shared" si="4"/>
        <v>20</v>
      </c>
      <c r="U28" s="220">
        <f t="shared" si="5"/>
        <v>20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SPISPX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102</v>
      </c>
    </row>
    <row r="29" spans="1:26" ht="12.75">
      <c r="A29" s="224" t="s">
        <v>86</v>
      </c>
      <c r="B29" s="225">
        <v>0.0007000000000000001</v>
      </c>
      <c r="C29" s="226"/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Cinclidotus fontinaloides</v>
      </c>
      <c r="E29" s="228" t="e">
        <f>IF(D29="",,VLOOKUP(D29,D$22:D28,1,0))</f>
        <v>#N/A</v>
      </c>
      <c r="F29" s="229">
        <f t="shared" si="0"/>
        <v>0.0007000000000000001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12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Cinclidotus fontinaloides</v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1320</v>
      </c>
      <c r="R29" s="219">
        <f t="shared" si="2"/>
        <v>0.0007000000000000001</v>
      </c>
      <c r="S29" s="220">
        <f t="shared" si="3"/>
        <v>1</v>
      </c>
      <c r="T29" s="220">
        <f t="shared" si="4"/>
        <v>12</v>
      </c>
      <c r="U29" s="220">
        <f t="shared" si="5"/>
        <v>24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CINFON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223</v>
      </c>
    </row>
    <row r="30" spans="1:26" ht="12.75">
      <c r="A30" s="224" t="s">
        <v>87</v>
      </c>
      <c r="B30" s="225">
        <v>0.0014000000000000002</v>
      </c>
      <c r="C30" s="226"/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Cinclidotus riparius</v>
      </c>
      <c r="E30" s="228" t="e">
        <f>IF(D30="",,VLOOKUP(D30,D$22:D29,1,0))</f>
        <v>#N/A</v>
      </c>
      <c r="F30" s="229">
        <f t="shared" si="0"/>
        <v>0.0014000000000000002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13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Cinclidotus riparius</v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1321</v>
      </c>
      <c r="R30" s="219">
        <f t="shared" si="2"/>
        <v>0.0014000000000000002</v>
      </c>
      <c r="S30" s="220">
        <f t="shared" si="3"/>
        <v>1</v>
      </c>
      <c r="T30" s="220">
        <f t="shared" si="4"/>
        <v>13</v>
      </c>
      <c r="U30" s="220">
        <f t="shared" si="5"/>
        <v>26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CINRIP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224</v>
      </c>
    </row>
    <row r="31" spans="1:26" ht="12.75">
      <c r="A31" s="224" t="s">
        <v>88</v>
      </c>
      <c r="B31" s="225">
        <v>0.0014000000000000002</v>
      </c>
      <c r="C31" s="226"/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Fontinalis antipyretica</v>
      </c>
      <c r="E31" s="228" t="e">
        <f>IF(D31="",,VLOOKUP(D31,D$22:D30,1,0))</f>
        <v>#N/A</v>
      </c>
      <c r="F31" s="229">
        <f t="shared" si="0"/>
        <v>0.0014000000000000002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10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Fontinalis antipyretica</v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1310</v>
      </c>
      <c r="R31" s="219">
        <f t="shared" si="2"/>
        <v>0.0014000000000000002</v>
      </c>
      <c r="S31" s="220">
        <f t="shared" si="3"/>
        <v>1</v>
      </c>
      <c r="T31" s="220">
        <f t="shared" si="4"/>
        <v>10</v>
      </c>
      <c r="U31" s="220">
        <f t="shared" si="5"/>
        <v>10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FONANT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273</v>
      </c>
    </row>
    <row r="32" spans="1:26" ht="12.75">
      <c r="A32" s="224" t="s">
        <v>89</v>
      </c>
      <c r="B32" s="225">
        <v>0.0007000000000000001</v>
      </c>
      <c r="C32" s="226"/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Leptodictyum riparium </v>
      </c>
      <c r="E32" s="228" t="e">
        <f>IF(D32="",,VLOOKUP(D32,D$22:D31,1,0))</f>
        <v>#N/A</v>
      </c>
      <c r="F32" s="229">
        <f t="shared" si="0"/>
        <v>0.0007000000000000001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5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Leptodictyum riparium </v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1244</v>
      </c>
      <c r="R32" s="219">
        <f t="shared" si="2"/>
        <v>0.0007000000000000001</v>
      </c>
      <c r="S32" s="220">
        <f t="shared" si="3"/>
        <v>1</v>
      </c>
      <c r="T32" s="220">
        <f t="shared" si="4"/>
        <v>5</v>
      </c>
      <c r="U32" s="220">
        <f t="shared" si="5"/>
        <v>10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LEORIP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298</v>
      </c>
    </row>
    <row r="33" spans="1:26" ht="12.75">
      <c r="A33" s="224" t="s">
        <v>90</v>
      </c>
      <c r="B33" s="225">
        <v>0.0007000000000000001</v>
      </c>
      <c r="C33" s="226"/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Oxyrrhynchium hians</v>
      </c>
      <c r="E33" s="228" t="e">
        <f>IF(D33="",,VLOOKUP(D33,D$22:D32,1,0))</f>
        <v>#N/A</v>
      </c>
      <c r="F33" s="229">
        <f t="shared" si="0"/>
        <v>0.0007000000000000001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 t="shared" si="1"/>
        <v>1</v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nc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nc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Oxyrrhynchium hians</v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31547</v>
      </c>
      <c r="R33" s="219">
        <f t="shared" si="2"/>
        <v>0.0007000000000000001</v>
      </c>
      <c r="S33" s="220">
        <f t="shared" si="3"/>
        <v>1</v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OXYHIA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307</v>
      </c>
    </row>
    <row r="34" spans="1:26" ht="12.75">
      <c r="A34" s="224" t="s">
        <v>91</v>
      </c>
      <c r="B34" s="225">
        <v>1.5081081081081082</v>
      </c>
      <c r="C34" s="226"/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Ceratophyllum demersum</v>
      </c>
      <c r="E34" s="228" t="e">
        <f>IF(D34="",,VLOOKUP(D34,D$22:D33,1,0))</f>
        <v>#N/A</v>
      </c>
      <c r="F34" s="229">
        <f t="shared" si="0"/>
        <v>1.5081081081081082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PHy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7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5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2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Ceratophyllum demersum</v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1717</v>
      </c>
      <c r="R34" s="219">
        <f t="shared" si="2"/>
        <v>1.5081081081081082</v>
      </c>
      <c r="S34" s="220">
        <f t="shared" si="3"/>
        <v>3</v>
      </c>
      <c r="T34" s="220">
        <f t="shared" si="4"/>
        <v>15</v>
      </c>
      <c r="U34" s="220">
        <f t="shared" si="5"/>
        <v>30</v>
      </c>
      <c r="V34" s="236">
        <f t="shared" si="6"/>
        <v>6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CERDEM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445</v>
      </c>
    </row>
    <row r="35" spans="1:26" ht="12.75">
      <c r="A35" s="224" t="s">
        <v>92</v>
      </c>
      <c r="B35" s="225">
        <v>7.666216216216217</v>
      </c>
      <c r="C35" s="226"/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Egeria densa</v>
      </c>
      <c r="E35" s="228" t="e">
        <f>IF(D35="",,VLOOKUP(D35,D$22:D34,1,0))</f>
        <v>#N/A</v>
      </c>
      <c r="F35" s="229">
        <f t="shared" si="0"/>
        <v>7.666216216216217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PHy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7</v>
      </c>
      <c r="I35" s="5">
        <f t="shared" si="1"/>
        <v>1</v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nc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nc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Egeria densa</v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19626</v>
      </c>
      <c r="R35" s="219">
        <f t="shared" si="2"/>
        <v>7.666216216216217</v>
      </c>
      <c r="S35" s="220">
        <f t="shared" si="3"/>
        <v>3</v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EGEDEN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449</v>
      </c>
    </row>
    <row r="36" spans="1:26" ht="12.75">
      <c r="A36" s="224" t="s">
        <v>93</v>
      </c>
      <c r="B36" s="225">
        <v>0.06283783783783785</v>
      </c>
      <c r="C36" s="226"/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Elodea nuttallii</v>
      </c>
      <c r="E36" s="228" t="e">
        <f>IF(D36="",,VLOOKUP(D36,D$22:D35,1,0))</f>
        <v>#N/A</v>
      </c>
      <c r="F36" s="229">
        <f t="shared" si="0"/>
        <v>0.06283783783783785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PHy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7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8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Elodea nuttallii</v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1588</v>
      </c>
      <c r="R36" s="219">
        <f t="shared" si="2"/>
        <v>0.06283783783783785</v>
      </c>
      <c r="S36" s="220">
        <f t="shared" si="3"/>
        <v>1</v>
      </c>
      <c r="T36" s="220">
        <f t="shared" si="4"/>
        <v>8</v>
      </c>
      <c r="U36" s="220">
        <f t="shared" si="5"/>
        <v>16</v>
      </c>
      <c r="V36" s="236">
        <f t="shared" si="6"/>
        <v>2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ELONUT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454</v>
      </c>
    </row>
    <row r="37" spans="1:26" ht="12.75">
      <c r="A37" s="224" t="s">
        <v>94</v>
      </c>
      <c r="B37" s="225">
        <v>3.2675675675675677</v>
      </c>
      <c r="C37" s="226"/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Myriophyllum spicatum</v>
      </c>
      <c r="E37" s="228" t="e">
        <f>IF(D37="",,VLOOKUP(D37,D$22:D36,1,0))</f>
        <v>#N/A</v>
      </c>
      <c r="F37" s="229">
        <f t="shared" si="0"/>
        <v>3.2675675675675677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PHy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7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8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2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Myriophyllum spicatum</v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1778</v>
      </c>
      <c r="R37" s="219">
        <f t="shared" si="2"/>
        <v>3.2675675675675677</v>
      </c>
      <c r="S37" s="220">
        <f t="shared" si="3"/>
        <v>3</v>
      </c>
      <c r="T37" s="220">
        <f t="shared" si="4"/>
        <v>24</v>
      </c>
      <c r="U37" s="220">
        <f t="shared" si="5"/>
        <v>48</v>
      </c>
      <c r="V37" s="236">
        <f t="shared" si="6"/>
        <v>6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MYRSPI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486</v>
      </c>
    </row>
    <row r="38" spans="1:26" ht="12.75">
      <c r="A38" s="224" t="s">
        <v>95</v>
      </c>
      <c r="B38" s="225">
        <v>0.8797297297297297</v>
      </c>
      <c r="C38" s="226"/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Najas marina</v>
      </c>
      <c r="E38" s="228" t="e">
        <f>IF(D38="",,VLOOKUP(D38,D$22:D37,1,0))</f>
        <v>#N/A</v>
      </c>
      <c r="F38" s="229">
        <f t="shared" si="0"/>
        <v>0.8797297297297297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PHy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7</v>
      </c>
      <c r="I38" s="5">
        <f t="shared" si="1"/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5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3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Najas marina</v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1835</v>
      </c>
      <c r="R38" s="219">
        <f t="shared" si="2"/>
        <v>0.8797297297297297</v>
      </c>
      <c r="S38" s="220">
        <f t="shared" si="3"/>
        <v>2</v>
      </c>
      <c r="T38" s="220">
        <f t="shared" si="4"/>
        <v>10</v>
      </c>
      <c r="U38" s="220">
        <f t="shared" si="5"/>
        <v>30</v>
      </c>
      <c r="V38" s="236">
        <f t="shared" si="6"/>
        <v>6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NAJMAR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492</v>
      </c>
    </row>
    <row r="39" spans="1:26" ht="12.75">
      <c r="A39" s="224" t="s">
        <v>16</v>
      </c>
      <c r="B39" s="225">
        <v>10.054054054054054</v>
      </c>
      <c r="C39" s="226"/>
      <c r="D39" s="227" t="str">
        <f>IF(ISERROR(VLOOKUP($A39,'[1]liste reference'!$A$6:$B$1174,2,0)),IF(ISERROR(VLOOKUP($A39,'[1]liste reference'!$B$6:$B$1174,1,0)),"",VLOOKUP($A39,'[1]liste reference'!$B$6:$B$1174,1,0)),VLOOKUP($A39,'[1]liste reference'!$A$6:$B$1174,2,0))</f>
        <v>Potamogeton nodosus</v>
      </c>
      <c r="E39" s="228" t="e">
        <f>IF(D39="",,VLOOKUP(D39,D$22:D38,1,0))</f>
        <v>#N/A</v>
      </c>
      <c r="F39" s="229">
        <f t="shared" si="0"/>
        <v>10.054054054054054</v>
      </c>
      <c r="G39" s="230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PHy</v>
      </c>
      <c r="H39" s="231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7</v>
      </c>
      <c r="I39" s="5">
        <f t="shared" si="1"/>
        <v>1</v>
      </c>
      <c r="J39" s="232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4</v>
      </c>
      <c r="K39" s="232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3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Potamogeton nodosus</v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1652</v>
      </c>
      <c r="R39" s="219">
        <f t="shared" si="2"/>
        <v>10.054054054054054</v>
      </c>
      <c r="S39" s="220">
        <f t="shared" si="3"/>
        <v>4</v>
      </c>
      <c r="T39" s="220">
        <f t="shared" si="4"/>
        <v>16</v>
      </c>
      <c r="U39" s="220">
        <f t="shared" si="5"/>
        <v>48</v>
      </c>
      <c r="V39" s="236">
        <f t="shared" si="6"/>
        <v>12</v>
      </c>
      <c r="W39" s="237"/>
      <c r="X39" s="238"/>
      <c r="Y39" s="223" t="str">
        <f>IF(AND(ISNUMBER(F39),OR(A39="",A39="!!!!!!")),"!!!!!!",IF(A39="new.cod","NEWCOD",IF(AND((Z39=""),ISTEXT(A39),A39&lt;&gt;"!!!!!!"),A39,IF(Z39="","",INDEX('[1]liste reference'!$A$6:$A$1174,Z39)))))</f>
        <v>POTNOD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530</v>
      </c>
    </row>
    <row r="40" spans="1:26" ht="12.75">
      <c r="A40" s="224" t="s">
        <v>96</v>
      </c>
      <c r="B40" s="225">
        <v>11.562162162162162</v>
      </c>
      <c r="C40" s="226"/>
      <c r="D40" s="227" t="str">
        <f>IF(ISERROR(VLOOKUP($A40,'[1]liste reference'!$A$6:$B$1174,2,0)),IF(ISERROR(VLOOKUP($A40,'[1]liste reference'!$B$6:$B$1174,1,0)),"",VLOOKUP($A40,'[1]liste reference'!$B$6:$B$1174,1,0)),VLOOKUP($A40,'[1]liste reference'!$A$6:$B$1174,2,0))</f>
        <v>Potamogeton pectinatus</v>
      </c>
      <c r="E40" s="228" t="e">
        <f>IF(D40="",,VLOOKUP(D40,D$22:D39,1,0))</f>
        <v>#N/A</v>
      </c>
      <c r="F40" s="229">
        <f t="shared" si="0"/>
        <v>11.562162162162162</v>
      </c>
      <c r="G40" s="230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PHy</v>
      </c>
      <c r="H40" s="231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7</v>
      </c>
      <c r="I40" s="5">
        <f t="shared" si="1"/>
        <v>1</v>
      </c>
      <c r="J40" s="232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2</v>
      </c>
      <c r="K40" s="232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2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Potamogeton pectinatus</v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1655</v>
      </c>
      <c r="R40" s="219">
        <f t="shared" si="2"/>
        <v>11.562162162162162</v>
      </c>
      <c r="S40" s="220">
        <f t="shared" si="3"/>
        <v>4</v>
      </c>
      <c r="T40" s="220">
        <f t="shared" si="4"/>
        <v>8</v>
      </c>
      <c r="U40" s="220">
        <f t="shared" si="5"/>
        <v>16</v>
      </c>
      <c r="V40" s="236">
        <f t="shared" si="6"/>
        <v>8</v>
      </c>
      <c r="W40" s="237"/>
      <c r="X40" s="238"/>
      <c r="Y40" s="223" t="str">
        <f>IF(AND(ISNUMBER(F40),OR(A40="",A40="!!!!!!")),"!!!!!!",IF(A40="new.cod","NEWCOD",IF(AND((Z40=""),ISTEXT(A40),A40&lt;&gt;"!!!!!!"),A40,IF(Z40="","",INDEX('[1]liste reference'!$A$6:$A$1174,Z40)))))</f>
        <v>POTPEC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532</v>
      </c>
    </row>
    <row r="41" spans="1:26" ht="12.75">
      <c r="A41" s="224" t="s">
        <v>97</v>
      </c>
      <c r="B41" s="225">
        <v>5.027027027027027</v>
      </c>
      <c r="C41" s="226"/>
      <c r="D41" s="227" t="str">
        <f>IF(ISERROR(VLOOKUP($A41,'[1]liste reference'!$A$6:$B$1174,2,0)),IF(ISERROR(VLOOKUP($A41,'[1]liste reference'!$B$6:$B$1174,1,0)),"",VLOOKUP($A41,'[1]liste reference'!$B$6:$B$1174,1,0)),VLOOKUP($A41,'[1]liste reference'!$A$6:$B$1174,2,0))</f>
        <v>Potamogeton perfoliatus</v>
      </c>
      <c r="E41" s="228" t="e">
        <f>IF(D41="",,VLOOKUP(D41,D$22:D40,1,0))</f>
        <v>#N/A</v>
      </c>
      <c r="F41" s="229">
        <f t="shared" si="0"/>
        <v>5.027027027027027</v>
      </c>
      <c r="G41" s="230" t="str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  <v>PHy</v>
      </c>
      <c r="H41" s="231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7</v>
      </c>
      <c r="I41" s="5">
        <f t="shared" si="1"/>
        <v>1</v>
      </c>
      <c r="J41" s="232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9</v>
      </c>
      <c r="K41" s="232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2</v>
      </c>
      <c r="L41" s="215" t="str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  <v>Potamogeton perfoliatus</v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  <v>1656</v>
      </c>
      <c r="R41" s="219">
        <f t="shared" si="2"/>
        <v>5.027027027027027</v>
      </c>
      <c r="S41" s="220">
        <f t="shared" si="3"/>
        <v>3</v>
      </c>
      <c r="T41" s="220">
        <f t="shared" si="4"/>
        <v>27</v>
      </c>
      <c r="U41" s="220">
        <f t="shared" si="5"/>
        <v>54</v>
      </c>
      <c r="V41" s="236">
        <f t="shared" si="6"/>
        <v>6</v>
      </c>
      <c r="W41" s="237"/>
      <c r="X41" s="238"/>
      <c r="Y41" s="223" t="str">
        <f>IF(AND(ISNUMBER(F41),OR(A41="",A41="!!!!!!")),"!!!!!!",IF(A41="new.cod","NEWCOD",IF(AND((Z41=""),ISTEXT(A41),A41&lt;&gt;"!!!!!!"),A41,IF(Z41="","",INDEX('[1]liste reference'!$A$6:$A$1174,Z41)))))</f>
        <v>POTPER</v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  <v>533</v>
      </c>
    </row>
    <row r="42" spans="1:26" ht="12.75">
      <c r="A42" s="224" t="s">
        <v>98</v>
      </c>
      <c r="B42" s="225">
        <v>0.6283783783783784</v>
      </c>
      <c r="C42" s="226"/>
      <c r="D42" s="227" t="str">
        <f>IF(ISERROR(VLOOKUP($A42,'[1]liste reference'!$A$6:$B$1174,2,0)),IF(ISERROR(VLOOKUP($A42,'[1]liste reference'!$B$6:$B$1174,1,0)),"",VLOOKUP($A42,'[1]liste reference'!$B$6:$B$1174,1,0)),VLOOKUP($A42,'[1]liste reference'!$A$6:$B$1174,2,0))</f>
        <v>Spirodela polyrhiza</v>
      </c>
      <c r="E42" s="228" t="e">
        <f>IF(D42="",,VLOOKUP(D42,D$22:D41,1,0))</f>
        <v>#N/A</v>
      </c>
      <c r="F42" s="229">
        <f t="shared" si="0"/>
        <v>0.6283783783783784</v>
      </c>
      <c r="G42" s="230" t="str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  <v>PHy</v>
      </c>
      <c r="H42" s="231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7</v>
      </c>
      <c r="I42" s="5">
        <f t="shared" si="1"/>
        <v>1</v>
      </c>
      <c r="J42" s="232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6</v>
      </c>
      <c r="K42" s="232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2</v>
      </c>
      <c r="L42" s="215" t="str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  <v>Spirodela polyrhiza</v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  <v>1630</v>
      </c>
      <c r="R42" s="219">
        <f t="shared" si="2"/>
        <v>0.6283783783783784</v>
      </c>
      <c r="S42" s="220">
        <f t="shared" si="3"/>
        <v>2</v>
      </c>
      <c r="T42" s="220">
        <f t="shared" si="4"/>
        <v>12</v>
      </c>
      <c r="U42" s="220">
        <f t="shared" si="5"/>
        <v>24</v>
      </c>
      <c r="V42" s="236">
        <f t="shared" si="6"/>
        <v>4</v>
      </c>
      <c r="W42" s="237"/>
      <c r="X42" s="238"/>
      <c r="Y42" s="223" t="str">
        <f>IF(AND(ISNUMBER(F42),OR(A42="",A42="!!!!!!")),"!!!!!!",IF(A42="new.cod","NEWCOD",IF(AND((Z42=""),ISTEXT(A42),A42&lt;&gt;"!!!!!!"),A42,IF(Z42="","",INDEX('[1]liste reference'!$A$6:$A$1174,Z42)))))</f>
        <v>SPRPOL</v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  <v>600</v>
      </c>
    </row>
    <row r="43" spans="1:26" ht="12.75">
      <c r="A43" s="224" t="s">
        <v>99</v>
      </c>
      <c r="B43" s="225">
        <v>9.865540540540541</v>
      </c>
      <c r="C43" s="226"/>
      <c r="D43" s="227" t="str">
        <f>IF(ISERROR(VLOOKUP($A43,'[1]liste reference'!$A$6:$B$1174,2,0)),IF(ISERROR(VLOOKUP($A43,'[1]liste reference'!$B$6:$B$1174,1,0)),"",VLOOKUP($A43,'[1]liste reference'!$B$6:$B$1174,1,0)),VLOOKUP($A43,'[1]liste reference'!$A$6:$B$1174,2,0))</f>
        <v>Vallisneria spiralis</v>
      </c>
      <c r="E43" s="228" t="e">
        <f>IF(D43="",,VLOOKUP(D43,D$22:D42,1,0))</f>
        <v>#N/A</v>
      </c>
      <c r="F43" s="229">
        <f t="shared" si="0"/>
        <v>9.865540540540541</v>
      </c>
      <c r="G43" s="230" t="str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  <v>PHy</v>
      </c>
      <c r="H43" s="231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7</v>
      </c>
      <c r="I43" s="5">
        <f t="shared" si="1"/>
        <v>1</v>
      </c>
      <c r="J43" s="232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8</v>
      </c>
      <c r="K43" s="232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2</v>
      </c>
      <c r="L43" s="215" t="str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  <v>Vallisneria spiralis</v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  <v>1598</v>
      </c>
      <c r="R43" s="219">
        <f t="shared" si="2"/>
        <v>9.865540540540541</v>
      </c>
      <c r="S43" s="220">
        <f t="shared" si="3"/>
        <v>3</v>
      </c>
      <c r="T43" s="220">
        <f t="shared" si="4"/>
        <v>24</v>
      </c>
      <c r="U43" s="220">
        <f t="shared" si="5"/>
        <v>48</v>
      </c>
      <c r="V43" s="236">
        <f t="shared" si="6"/>
        <v>6</v>
      </c>
      <c r="W43" s="237"/>
      <c r="X43" s="238"/>
      <c r="Y43" s="223" t="str">
        <f>IF(AND(ISNUMBER(F43),OR(A43="",A43="!!!!!!")),"!!!!!!",IF(A43="new.cod","NEWCOD",IF(AND((Z43=""),ISTEXT(A43),A43&lt;&gt;"!!!!!!"),A43,IF(Z43="","",INDEX('[1]liste reference'!$A$6:$A$1174,Z43)))))</f>
        <v>VALSPI</v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  <v>613</v>
      </c>
    </row>
    <row r="44" spans="1:26" ht="12.75">
      <c r="A44" s="224" t="s">
        <v>100</v>
      </c>
      <c r="B44" s="225">
        <v>0.0007000000000000001</v>
      </c>
      <c r="C44" s="226"/>
      <c r="D44" s="227" t="str">
        <f>IF(ISERROR(VLOOKUP($A44,'[1]liste reference'!$A$6:$B$1174,2,0)),IF(ISERROR(VLOOKUP($A44,'[1]liste reference'!$B$6:$B$1174,1,0)),"",VLOOKUP($A44,'[1]liste reference'!$B$6:$B$1174,1,0)),VLOOKUP($A44,'[1]liste reference'!$A$6:$B$1174,2,0))</f>
        <v>Phragmites australis</v>
      </c>
      <c r="E44" s="228" t="e">
        <f>IF(D44="",,VLOOKUP(D44,D$22:D43,1,0))</f>
        <v>#N/A</v>
      </c>
      <c r="F44" s="229">
        <f t="shared" si="0"/>
        <v>0.0007000000000000001</v>
      </c>
      <c r="G44" s="230" t="str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  <v>PHe</v>
      </c>
      <c r="H44" s="231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8</v>
      </c>
      <c r="I44" s="5">
        <f t="shared" si="1"/>
        <v>1</v>
      </c>
      <c r="J44" s="232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9</v>
      </c>
      <c r="K44" s="232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2</v>
      </c>
      <c r="L44" s="215" t="str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  <v>Phragmites australis</v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  <v>1579</v>
      </c>
      <c r="R44" s="219">
        <f t="shared" si="2"/>
        <v>0.0007000000000000001</v>
      </c>
      <c r="S44" s="220">
        <f t="shared" si="3"/>
        <v>1</v>
      </c>
      <c r="T44" s="220">
        <f t="shared" si="4"/>
        <v>9</v>
      </c>
      <c r="U44" s="220">
        <f t="shared" si="5"/>
        <v>18</v>
      </c>
      <c r="V44" s="236">
        <f t="shared" si="6"/>
        <v>2</v>
      </c>
      <c r="W44" s="237"/>
      <c r="X44" s="238"/>
      <c r="Y44" s="223" t="str">
        <f>IF(AND(ISNUMBER(F44),OR(A44="",A44="!!!!!!")),"!!!!!!",IF(A44="new.cod","NEWCOD",IF(AND((Z44=""),ISTEXT(A44),A44&lt;&gt;"!!!!!!"),A44,IF(Z44="","",INDEX('[1]liste reference'!$A$6:$A$1174,Z44)))))</f>
        <v>PHRAUS</v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  <v>709</v>
      </c>
    </row>
    <row r="45" spans="1:26" ht="12.75">
      <c r="A45" s="224" t="s">
        <v>101</v>
      </c>
      <c r="B45" s="225">
        <v>0.0007000000000000001</v>
      </c>
      <c r="C45" s="226"/>
      <c r="D45" s="227" t="str">
        <f>IF(ISERROR(VLOOKUP($A45,'[1]liste reference'!$A$6:$B$1174,2,0)),IF(ISERROR(VLOOKUP($A45,'[1]liste reference'!$B$6:$B$1174,1,0)),"",VLOOKUP($A45,'[1]liste reference'!$B$6:$B$1174,1,0)),VLOOKUP($A45,'[1]liste reference'!$A$6:$B$1174,2,0))</f>
        <v>Iris sp.</v>
      </c>
      <c r="E45" s="228" t="e">
        <f>IF(D45="",,VLOOKUP(D45,D$22:D44,1,0))</f>
        <v>#N/A</v>
      </c>
      <c r="F45" s="229">
        <f t="shared" si="0"/>
        <v>0.0007000000000000001</v>
      </c>
      <c r="G45" s="230" t="str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  <v>PHx</v>
      </c>
      <c r="H45" s="231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10</v>
      </c>
      <c r="I45" s="5">
        <f t="shared" si="1"/>
        <v>1</v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nc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nc</v>
      </c>
      <c r="L45" s="215" t="str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  <v>Iris sp.</v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  <v>1600</v>
      </c>
      <c r="R45" s="219">
        <f t="shared" si="2"/>
        <v>0.0007000000000000001</v>
      </c>
      <c r="S45" s="220">
        <f t="shared" si="3"/>
        <v>1</v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 t="str">
        <f>IF(AND(ISNUMBER(F45),OR(A45="",A45="!!!!!!")),"!!!!!!",IF(A45="new.cod","NEWCOD",IF(AND((Z45=""),ISTEXT(A45),A45&lt;&gt;"!!!!!!"),A45,IF(Z45="","",INDEX('[1]liste reference'!$A$6:$A$1174,Z45)))))</f>
        <v>IRISPX</v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  <v>1087</v>
      </c>
    </row>
    <row r="46" spans="1:26" ht="12.75">
      <c r="A46" s="224" t="s">
        <v>54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54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54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54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54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54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54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54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54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54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54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54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54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54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54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54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54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54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54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54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54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54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54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54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54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54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54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54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54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54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54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54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54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54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54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54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54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51.14122432432433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81</v>
      </c>
      <c r="W83" s="220"/>
      <c r="X83" s="258"/>
      <c r="Y83" s="258"/>
      <c r="Z83" s="259"/>
    </row>
    <row r="84" spans="1:26" ht="12.75" hidden="1">
      <c r="A84" s="253" t="str">
        <f>A3</f>
        <v>RHONE</v>
      </c>
      <c r="B84" s="187" t="str">
        <f>C3</f>
        <v>RHONE A ST VALLIER</v>
      </c>
      <c r="C84" s="260" t="str">
        <f>A4</f>
        <v>(Date)</v>
      </c>
      <c r="D84" s="261">
        <f>IF(OR(ISERROR(SUM($U$23:$U$82)/SUM($V$23:$V$82)),F7&lt;&gt;100),-1,SUM($U$23:$U$82)/SUM($V$23:$V$82))</f>
        <v>6.518518518518518</v>
      </c>
      <c r="E84" s="262">
        <f>O13</f>
        <v>23</v>
      </c>
      <c r="F84" s="187">
        <f>O14</f>
        <v>20</v>
      </c>
      <c r="G84" s="187">
        <f>O15</f>
        <v>3</v>
      </c>
      <c r="H84" s="187">
        <f>O16</f>
        <v>15</v>
      </c>
      <c r="I84" s="187">
        <f>O17</f>
        <v>2</v>
      </c>
      <c r="J84" s="263">
        <f>O8</f>
        <v>7.75</v>
      </c>
      <c r="K84" s="264">
        <f>O9</f>
        <v>2.947456530637899</v>
      </c>
      <c r="L84" s="265">
        <f>O10</f>
        <v>2</v>
      </c>
      <c r="M84" s="265">
        <f>O11</f>
        <v>13</v>
      </c>
      <c r="N84" s="264">
        <f>P8</f>
        <v>1.95</v>
      </c>
      <c r="O84" s="264">
        <f>P9</f>
        <v>0.49749371855331</v>
      </c>
      <c r="P84" s="265">
        <f>P10</f>
        <v>1</v>
      </c>
      <c r="Q84" s="265">
        <f>P11</f>
        <v>3</v>
      </c>
      <c r="R84" s="265">
        <f>F21</f>
        <v>51.14122432432433</v>
      </c>
      <c r="S84" s="265">
        <f>L11</f>
        <v>0</v>
      </c>
      <c r="T84" s="265">
        <f>L12</f>
        <v>6</v>
      </c>
      <c r="U84" s="265">
        <f>L13</f>
        <v>5</v>
      </c>
      <c r="V84" s="266">
        <f>L15</f>
        <v>12</v>
      </c>
      <c r="W84" s="267">
        <f>L15</f>
        <v>12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102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103</v>
      </c>
      <c r="S87" s="5"/>
      <c r="T87" s="272">
        <f>VLOOKUP($T$91,($A$23:$U$82),20,FALSE)</f>
        <v>16</v>
      </c>
      <c r="U87" s="5"/>
      <c r="V87" s="5"/>
    </row>
    <row r="88" spans="3:22" ht="12.75" hidden="1">
      <c r="C88" s="269"/>
      <c r="D88" s="269"/>
      <c r="E88" s="269"/>
      <c r="R88" s="5" t="s">
        <v>104</v>
      </c>
      <c r="S88" s="5"/>
      <c r="T88" s="272">
        <f>VLOOKUP($T$91,($A$23:$U$82),21,FALSE)</f>
        <v>48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105</v>
      </c>
      <c r="S89" s="5"/>
      <c r="T89" s="272">
        <f>MAX($V$23:$V$82)</f>
        <v>12</v>
      </c>
      <c r="U89" s="5"/>
    </row>
    <row r="90" spans="3:21" ht="12.75" hidden="1">
      <c r="C90" s="269"/>
      <c r="D90" s="269"/>
      <c r="E90" s="269"/>
      <c r="R90" s="5" t="s">
        <v>106</v>
      </c>
      <c r="S90" s="5" t="s">
        <v>10</v>
      </c>
      <c r="T90" s="273">
        <f>IF(OR(ISERROR(SUM($U$23:$U$82)/SUM($V$23:$V$82)),F7&lt;&gt;100),-1,(SUM($U$23:$U$82)-T88)/(SUM($V$23:$V$82)-T89))</f>
        <v>6.956521739130435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107</v>
      </c>
      <c r="S91" s="220"/>
      <c r="T91" s="220" t="str">
        <f>INDEX('[1]liste reference'!$A$6:$A$1174,$U$91)</f>
        <v>POTNOD</v>
      </c>
      <c r="U91" s="5">
        <f>IF(ISERROR(MATCH($T$93,'[1]liste reference'!$A$6:$A$1174,0)),MATCH($T$93,'[1]liste reference'!$B$6:$B$1174,0),(MATCH($T$93,'[1]liste reference'!$A$6:$A$1174,0)))</f>
        <v>530</v>
      </c>
      <c r="V91" s="274"/>
    </row>
    <row r="92" spans="3:21" ht="12.75" hidden="1">
      <c r="C92" s="269"/>
      <c r="D92" s="269"/>
      <c r="E92" s="269"/>
      <c r="R92" s="5" t="s">
        <v>108</v>
      </c>
      <c r="S92" s="5"/>
      <c r="T92" s="5">
        <f>MATCH(T89,$V$23:$V$82,0)</f>
        <v>17</v>
      </c>
      <c r="U92" s="5"/>
    </row>
    <row r="93" spans="3:21" ht="12.75" hidden="1">
      <c r="C93" s="269"/>
      <c r="D93" s="269"/>
      <c r="E93" s="269"/>
      <c r="R93" s="220" t="s">
        <v>109</v>
      </c>
      <c r="S93" s="5"/>
      <c r="T93" s="220" t="str">
        <f>INDEX($A$23:$A$82,$T$92)</f>
        <v>POTNOD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2016-04-26T15:51:04Z</dcterms:created>
  <dcterms:modified xsi:type="dcterms:W3CDTF">2016-04-26T15:51:08Z</dcterms:modified>
  <cp:category/>
  <cp:version/>
  <cp:contentType/>
  <cp:contentStatus/>
</cp:coreProperties>
</file>