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<sst xmlns="http://schemas.openxmlformats.org/spreadsheetml/2006/main" count="174" uniqueCount="109">
  <si>
    <t xml:space="preserve">Relevés floristiques aquatiques - IBMR</t>
  </si>
  <si>
    <t xml:space="preserve">modèle Irstea-GIS</t>
  </si>
  <si>
    <t xml:space="preserve">SAGE</t>
  </si>
  <si>
    <t xml:space="preserve">M.SCHNEIDER S.RENAHY</t>
  </si>
  <si>
    <t xml:space="preserve">RHONE</t>
  </si>
  <si>
    <t xml:space="preserve">RHONE A ST VALLIER</t>
  </si>
  <si>
    <t xml:space="preserve">06104000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</si>
  <si>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</si>
  <si>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</si>
  <si>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</si>
  <si>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</si>
  <si>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</si>
  <si>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</si>
  <si>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</si>
  <si>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</si>
  <si>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</si>
  <si>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</si>
  <si>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</si>
  <si>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ch.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</si>
  <si>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</si>
  <si>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</si>
  <si>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</si>
  <si>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</si>
  <si>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</si>
  <si>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</si>
  <si>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</si>
  <si>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</si>
  <si>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</si>
  <si>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</si>
  <si>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</si>
  <si>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</si>
  <si>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</si>
  <si>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</si>
  <si>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</si>
  <si>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</si>
  <si>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</si>
  <si>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</si>
  <si>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</si>
  <si>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</si>
  <si>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</si>
  <si>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</si>
  <si>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</si>
  <si>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</si>
  <si>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</si>
  <si>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</si>
  <si>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</si>
  <si>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</si>
  <si>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</si>
  <si>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</si>
  <si>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</si>
  <si>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</si>
  <si>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</si>
  <si>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</si>
  <si>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</si>
  <si>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</si>
  <si>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</si>
  <si>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</si>
  <si>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</si>
  <si>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</si>
  <si>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</si>
  <si>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</si>
  <si>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</si>
  <si>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</si>
  <si>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</si>
  <si>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</si>
  <si>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</si>
  <si>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</si>
  <si>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</si>
  <si>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</si>
  <si>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</si>
  <si>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</si>
  <si>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</si>
  <si>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</si>
  <si>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</si>
  <si>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</si>
  <si>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</si>
  <si>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</si>
  <si>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</si>
  <si>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</si>
  <si>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</si>
  <si>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HYISPX</t>
  </si>
  <si>
    <t xml:space="preserve">LYNSPX</t>
  </si>
  <si>
    <t xml:space="preserve">OEDSPX</t>
  </si>
  <si>
    <t xml:space="preserve">PHOSPX</t>
  </si>
  <si>
    <t xml:space="preserve">SPISPX</t>
  </si>
  <si>
    <t xml:space="preserve">CINFON</t>
  </si>
  <si>
    <t xml:space="preserve">CINRIP</t>
  </si>
  <si>
    <t xml:space="preserve">FONANT</t>
  </si>
  <si>
    <t xml:space="preserve">LEORIP</t>
  </si>
  <si>
    <t xml:space="preserve">OXYHIA</t>
  </si>
  <si>
    <t xml:space="preserve">CERDEM</t>
  </si>
  <si>
    <t xml:space="preserve">EGEDEN</t>
  </si>
  <si>
    <t xml:space="preserve">ELONUT</t>
  </si>
  <si>
    <t xml:space="preserve">MYRSPI</t>
  </si>
  <si>
    <t xml:space="preserve">NAJMAR</t>
  </si>
  <si>
    <t xml:space="preserve">POTPEC</t>
  </si>
  <si>
    <t xml:space="preserve">POTPER</t>
  </si>
  <si>
    <t xml:space="preserve">SPRPOL</t>
  </si>
  <si>
    <t xml:space="preserve">VALSPI</t>
  </si>
  <si>
    <t xml:space="preserve">PHRAUS</t>
  </si>
  <si>
    <t xml:space="preserve">IRISPX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</si>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</sst>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RHOVA_10-09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42257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6.51851851851852</v>
      </c>
      <c r="N5" s="51"/>
      <c r="O5" s="52" t="s">
        <v>16</v>
      </c>
      <c r="P5" s="53" t="n">
        <v>6.95652173913044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/>
      <c r="D6" s="57"/>
      <c r="E6" s="57"/>
      <c r="F6" s="58"/>
      <c r="G6" s="46"/>
      <c r="H6" s="44"/>
      <c r="I6" s="8"/>
      <c r="J6" s="59"/>
      <c r="K6" s="60"/>
      <c r="L6" s="61" t="s">
        <v>19</v>
      </c>
      <c r="M6" s="62" t="s">
        <v>20</v>
      </c>
      <c r="N6" s="63"/>
      <c r="O6" s="64" t="n">
        <v>1</v>
      </c>
      <c r="P6" s="65" t="s">
        <v>20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21</v>
      </c>
      <c r="B7" s="68" t="n">
        <v>100</v>
      </c>
      <c r="C7" s="69"/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22</v>
      </c>
      <c r="P7" s="78" t="s">
        <v>23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24</v>
      </c>
      <c r="B8" s="43"/>
      <c r="C8" s="43"/>
      <c r="D8" s="57"/>
      <c r="E8" s="57"/>
      <c r="F8" s="80" t="s">
        <v>25</v>
      </c>
      <c r="G8" s="81"/>
      <c r="H8" s="57"/>
      <c r="I8" s="8"/>
      <c r="J8" s="72"/>
      <c r="K8" s="73"/>
      <c r="L8" s="74"/>
      <c r="M8" s="75"/>
      <c r="N8" s="82" t="s">
        <v>26</v>
      </c>
      <c r="O8" s="83" t="n">
        <f aca="false">IF(ISERROR(AVERAGE(J23:J82))," ",AVERAGE(J23:J82))</f>
        <v>7.75</v>
      </c>
      <c r="P8" s="83" t="n">
        <f aca="false">IF(ISERROR(AVERAGE(K23:K82)),"  ",AVERAGE(K23:K82))</f>
        <v>1.95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27</v>
      </c>
      <c r="B9" s="85" t="n">
        <v>51.14</v>
      </c>
      <c r="C9" s="86"/>
      <c r="D9" s="87"/>
      <c r="E9" s="87"/>
      <c r="F9" s="88" t="n">
        <f aca="false">($B9*$B$7+$C9*$C$7)/100</f>
        <v>51.14</v>
      </c>
      <c r="G9" s="89"/>
      <c r="H9" s="44"/>
      <c r="I9" s="8"/>
      <c r="J9" s="90"/>
      <c r="K9" s="91"/>
      <c r="L9" s="74"/>
      <c r="M9" s="92"/>
      <c r="N9" s="82" t="s">
        <v>28</v>
      </c>
      <c r="O9" s="83" t="n">
        <f aca="false">IF(ISERROR(STDEVP(J23:J82))," ",STDEVP(J23:J82))</f>
        <v>2.9474565306379</v>
      </c>
      <c r="P9" s="83" t="n">
        <f aca="false">IF(ISERROR(STDEVP(K23:K82)),"  ",STDEVP(K23:K82))</f>
        <v>0.49749371855331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29</v>
      </c>
      <c r="B10" s="93" t="s">
        <v>30</v>
      </c>
      <c r="C10" s="94"/>
      <c r="D10" s="87"/>
      <c r="E10" s="87"/>
      <c r="F10" s="88"/>
      <c r="G10" s="89"/>
      <c r="H10" s="57"/>
      <c r="I10" s="8"/>
      <c r="J10" s="95"/>
      <c r="K10" s="96" t="s">
        <v>31</v>
      </c>
      <c r="L10" s="97"/>
      <c r="M10" s="98"/>
      <c r="N10" s="82" t="s">
        <v>32</v>
      </c>
      <c r="O10" s="99" t="n">
        <f aca="false">MIN(J23:J82)</f>
        <v>2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33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34</v>
      </c>
      <c r="K11" s="106"/>
      <c r="L11" s="107" t="n">
        <f aca="false">COUNTIF($G$23:$G$82,"=HET")</f>
        <v>0</v>
      </c>
      <c r="M11" s="108"/>
      <c r="N11" s="82" t="s">
        <v>35</v>
      </c>
      <c r="O11" s="99" t="n">
        <f aca="false">MAX(J23:J82)</f>
        <v>13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36</v>
      </c>
      <c r="B12" s="110" t="n">
        <v>0.61</v>
      </c>
      <c r="C12" s="111"/>
      <c r="D12" s="87"/>
      <c r="E12" s="87"/>
      <c r="F12" s="104" t="n">
        <f aca="false">($B12*$B$7+$C12*$C$7)/100</f>
        <v>0.61</v>
      </c>
      <c r="G12" s="105"/>
      <c r="H12" s="57"/>
      <c r="I12" s="8"/>
      <c r="J12" s="106" t="s">
        <v>37</v>
      </c>
      <c r="K12" s="106"/>
      <c r="L12" s="107" t="n">
        <f aca="false">COUNTIF($G$23:$G$82,"=ALG")</f>
        <v>6</v>
      </c>
      <c r="M12" s="108"/>
      <c r="N12" s="112"/>
      <c r="O12" s="113" t="s">
        <v>31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38</v>
      </c>
      <c r="B13" s="110" t="n">
        <v>0.01</v>
      </c>
      <c r="C13" s="111"/>
      <c r="D13" s="87"/>
      <c r="E13" s="87"/>
      <c r="F13" s="104" t="n">
        <f aca="false">($B13*$B$7+$C13*$C$7)/100</f>
        <v>0.01</v>
      </c>
      <c r="G13" s="105"/>
      <c r="H13" s="57"/>
      <c r="I13" s="8"/>
      <c r="J13" s="106" t="s">
        <v>39</v>
      </c>
      <c r="K13" s="106"/>
      <c r="L13" s="107" t="n">
        <f aca="false">COUNTIF($G$23:$G$82,"=BRm")+COUNTIF($G$23:$G$82,"=BRh")</f>
        <v>5</v>
      </c>
      <c r="M13" s="108"/>
      <c r="N13" s="116" t="s">
        <v>40</v>
      </c>
      <c r="O13" s="117" t="n">
        <f aca="false">COUNTIF(F23:F82,"&gt;0")</f>
        <v>23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41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42</v>
      </c>
      <c r="K14" s="106"/>
      <c r="L14" s="107" t="n">
        <f aca="false">COUNTIF($G$23:$G$82,"=PTE")+COUNTIF($G$23:$G$82,"=LIC")</f>
        <v>0</v>
      </c>
      <c r="M14" s="108"/>
      <c r="N14" s="119" t="s">
        <v>43</v>
      </c>
      <c r="O14" s="120" t="n">
        <f aca="false">COUNTIF($J$23:$J$82,"&gt;-1")</f>
        <v>20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44</v>
      </c>
      <c r="B15" s="123" t="n">
        <v>50.52</v>
      </c>
      <c r="C15" s="124"/>
      <c r="D15" s="87"/>
      <c r="E15" s="87"/>
      <c r="F15" s="104" t="n">
        <f aca="false">($B15*$B$7+$C15*$C$7)/100</f>
        <v>50.52</v>
      </c>
      <c r="G15" s="105"/>
      <c r="H15" s="57"/>
      <c r="I15" s="8"/>
      <c r="J15" s="106" t="s">
        <v>45</v>
      </c>
      <c r="K15" s="106"/>
      <c r="L15" s="107" t="n">
        <f aca="false">(COUNTIF($G$23:$G$82,"=PHy"))+(COUNTIF($G$23:$G$82,"=PHe"))+(COUNTIF($G$23:$G$82,"=PHg"))+(COUNTIF($G$23:$G$82,"=PHx"))</f>
        <v>12</v>
      </c>
      <c r="M15" s="108"/>
      <c r="N15" s="116" t="s">
        <v>46</v>
      </c>
      <c r="O15" s="117" t="n">
        <f aca="false">COUNTIF(K23:K82,"=1")</f>
        <v>3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47</v>
      </c>
      <c r="B16" s="102" t="n">
        <v>0.63</v>
      </c>
      <c r="C16" s="103"/>
      <c r="D16" s="87"/>
      <c r="E16" s="87"/>
      <c r="F16" s="125"/>
      <c r="G16" s="126" t="n">
        <f aca="false">($B16*$B$7+$C16*$C$7)/100</f>
        <v>0.63</v>
      </c>
      <c r="H16" s="57"/>
      <c r="I16" s="8"/>
      <c r="J16" s="127"/>
      <c r="K16" s="128"/>
      <c r="L16" s="128"/>
      <c r="M16" s="108"/>
      <c r="N16" s="116" t="s">
        <v>48</v>
      </c>
      <c r="O16" s="117" t="n">
        <f aca="false">COUNTIF(K23:K82,"=2")</f>
        <v>15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49</v>
      </c>
      <c r="B17" s="110" t="n">
        <v>50.5</v>
      </c>
      <c r="C17" s="111"/>
      <c r="D17" s="87"/>
      <c r="E17" s="87"/>
      <c r="F17" s="129"/>
      <c r="G17" s="130" t="n">
        <f aca="false">($B17*$B$7+$C17*$C$7)/100</f>
        <v>50.5</v>
      </c>
      <c r="H17" s="57"/>
      <c r="I17" s="8"/>
      <c r="J17" s="131"/>
      <c r="K17" s="132"/>
      <c r="L17" s="133" t="s">
        <v>50</v>
      </c>
      <c r="M17" s="134" t="n">
        <f aca="false">IF(ISERROR((O13-(COUNTIF(J23:J82,"nc")))/O13),"-",(O13-(COUNTIF(J23:J82,"nc")))/O13)</f>
        <v>0.869565217391304</v>
      </c>
      <c r="N17" s="116" t="s">
        <v>51</v>
      </c>
      <c r="O17" s="117" t="n">
        <f aca="false">COUNTIF(K23:K82,"=3")</f>
        <v>2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52</v>
      </c>
      <c r="B18" s="137" t="n">
        <v>0.01</v>
      </c>
      <c r="C18" s="138"/>
      <c r="D18" s="87"/>
      <c r="E18" s="139" t="s">
        <v>53</v>
      </c>
      <c r="F18" s="129"/>
      <c r="G18" s="130" t="n">
        <f aca="false">($B18*$B$7+$C18*$C$7)/100</f>
        <v>0.01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51.14</v>
      </c>
      <c r="G19" s="150" t="n">
        <f aca="false">SUM(G16:G18)</f>
        <v>51.14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54</v>
      </c>
      <c r="B20" s="159" t="n">
        <f aca="false">SUM(B23:B62)</f>
        <v>51.1412243243243</v>
      </c>
      <c r="C20" s="160" t="n">
        <f aca="false">SUM(C23:C62)</f>
        <v>0</v>
      </c>
      <c r="D20" s="161"/>
      <c r="E20" s="162" t="s">
        <v>53</v>
      </c>
      <c r="F20" s="163" t="n">
        <f aca="false">($B20*$B$7+$C20*$C$7)/100</f>
        <v>51.1412243243243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55</v>
      </c>
      <c r="B21" s="171" t="n">
        <f aca="false">B20*B7/100</f>
        <v>51.1412243243243</v>
      </c>
      <c r="C21" s="171" t="n">
        <f aca="false">C20*C7/100</f>
        <v>0</v>
      </c>
      <c r="D21" s="172" t="s">
        <v>56</v>
      </c>
      <c r="E21" s="173"/>
      <c r="F21" s="174" t="n">
        <f aca="false">B21+C21</f>
        <v>51.1412243243243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57</v>
      </c>
    </row>
    <row r="22" customFormat="false" ht="12.75" hidden="false" customHeight="false" outlineLevel="0" collapsed="false">
      <c r="A22" s="183" t="s">
        <v>58</v>
      </c>
      <c r="B22" s="184" t="s">
        <v>59</v>
      </c>
      <c r="C22" s="184" t="s">
        <v>59</v>
      </c>
      <c r="D22" s="185"/>
      <c r="E22" s="186"/>
      <c r="F22" s="187" t="s">
        <v>60</v>
      </c>
      <c r="G22" s="188" t="s">
        <v>61</v>
      </c>
      <c r="H22" s="87" t="s">
        <v>62</v>
      </c>
      <c r="I22" s="8" t="s">
        <v>63</v>
      </c>
      <c r="J22" s="189" t="s">
        <v>64</v>
      </c>
      <c r="K22" s="189" t="s">
        <v>65</v>
      </c>
      <c r="L22" s="190" t="s">
        <v>66</v>
      </c>
      <c r="M22" s="190"/>
      <c r="N22" s="190"/>
      <c r="O22" s="190"/>
      <c r="P22" s="182" t="s">
        <v>67</v>
      </c>
      <c r="Q22" s="191" t="s">
        <v>68</v>
      </c>
      <c r="R22" s="192" t="s">
        <v>69</v>
      </c>
      <c r="S22" s="193" t="s">
        <v>70</v>
      </c>
      <c r="T22" s="194" t="s">
        <v>71</v>
      </c>
      <c r="U22" s="194" t="s">
        <v>72</v>
      </c>
      <c r="V22" s="195" t="s">
        <v>73</v>
      </c>
      <c r="W22" s="196" t="s">
        <v>74</v>
      </c>
      <c r="X22" s="196" t="s">
        <v>75</v>
      </c>
      <c r="Y22" s="197" t="s">
        <v>76</v>
      </c>
      <c r="Z22" s="197" t="s">
        <v>77</v>
      </c>
    </row>
    <row r="23" customFormat="false" ht="12.75" hidden="false" customHeight="false" outlineLevel="0" collapsed="false">
      <c r="A23" s="198" t="s">
        <v>78</v>
      </c>
      <c r="B23" s="199" t="n">
        <v>0.196375675675676</v>
      </c>
      <c r="C23" s="200"/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0.196375675675676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0.196375675675676</v>
      </c>
      <c r="S23" s="212" t="n">
        <f aca="false">IF(OR(ISTEXT(H23),R23=0),"",IF(R23&lt;0.1,1,IF(R23&lt;1,2,IF(R23&lt;10,3,IF(R23&lt;50,4,IF(R23&gt;=50,5,""))))))</f>
        <v>2</v>
      </c>
      <c r="T23" s="212" t="n">
        <f aca="false">IF(ISERROR(S23*J23),0,S23*J23)</f>
        <v>12</v>
      </c>
      <c r="U23" s="212" t="n">
        <f aca="false">IF(ISERROR(S23*J23*K23),0,S23*J23*K23)</f>
        <v>12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80</v>
      </c>
      <c r="B24" s="217" t="n">
        <v>0.125675675675676</v>
      </c>
      <c r="C24" s="218"/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Hydrodictyon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0.125675675675676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6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Hydrodictyon sp.</v>
      </c>
      <c r="M24" s="225"/>
      <c r="N24" s="225"/>
      <c r="O24" s="225"/>
      <c r="P24" s="226" t="s">
        <v>79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5686</v>
      </c>
      <c r="R24" s="211" t="n">
        <f aca="false">IF(ISTEXT(H24),"",(B24*$B$7/100)+(C24*$C$7/100))</f>
        <v>0.125675675675676</v>
      </c>
      <c r="S24" s="212" t="n">
        <f aca="false">IF(OR(ISTEXT(H24),R24=0),"",IF(R24&lt;0.1,1,IF(R24&lt;1,2,IF(R24&lt;10,3,IF(R24&lt;50,4,IF(R24&gt;=50,5,""))))))</f>
        <v>2</v>
      </c>
      <c r="T24" s="212" t="n">
        <f aca="false">IF(ISERROR(S24*J24),0,S24*J24)</f>
        <v>12</v>
      </c>
      <c r="U24" s="212" t="n">
        <f aca="false">IF(ISERROR(S24*J24*K24),0,S24*J24*K24)</f>
        <v>24</v>
      </c>
      <c r="V24" s="228" t="n">
        <f aca="false">IF(ISERROR(S24*K24),0,S24*K24)</f>
        <v>4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HYISPX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55</v>
      </c>
    </row>
    <row r="25" customFormat="false" ht="12.75" hidden="false" customHeight="false" outlineLevel="0" collapsed="false">
      <c r="A25" s="216" t="s">
        <v>81</v>
      </c>
      <c r="B25" s="217" t="n">
        <v>0.0007</v>
      </c>
      <c r="C25" s="218"/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Lyngbya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0.0007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10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Lyngbya sp.</v>
      </c>
      <c r="M25" s="225"/>
      <c r="N25" s="225"/>
      <c r="O25" s="225"/>
      <c r="P25" s="226" t="s">
        <v>79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1107</v>
      </c>
      <c r="R25" s="211" t="n">
        <f aca="false">IF(ISTEXT(H25),"",(B25*$B$7/100)+(C25*$C$7/100))</f>
        <v>0.0007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10</v>
      </c>
      <c r="U25" s="212" t="n">
        <f aca="false">IF(ISERROR(S25*J25*K25),0,S25*J25*K25)</f>
        <v>20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LYNSPX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61</v>
      </c>
    </row>
    <row r="26" customFormat="false" ht="12.75" hidden="false" customHeight="false" outlineLevel="0" collapsed="false">
      <c r="A26" s="216" t="s">
        <v>82</v>
      </c>
      <c r="B26" s="217" t="n">
        <v>0.127075675675676</v>
      </c>
      <c r="C26" s="218"/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Oedogonium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0.127075675675676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6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Oedogonium sp.</v>
      </c>
      <c r="M26" s="225"/>
      <c r="N26" s="225"/>
      <c r="O26" s="225"/>
      <c r="P26" s="226" t="s">
        <v>79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1134</v>
      </c>
      <c r="R26" s="211" t="n">
        <f aca="false">IF(ISTEXT(H26),"",(B26*$B$7/100)+(C26*$C$7/100))</f>
        <v>0.127075675675676</v>
      </c>
      <c r="S26" s="212" t="n">
        <f aca="false">IF(OR(ISTEXT(H26),R26=0),"",IF(R26&lt;0.1,1,IF(R26&lt;1,2,IF(R26&lt;10,3,IF(R26&lt;50,4,IF(R26&gt;=50,5,""))))))</f>
        <v>2</v>
      </c>
      <c r="T26" s="212" t="n">
        <f aca="false">IF(ISERROR(S26*J26),0,S26*J26)</f>
        <v>12</v>
      </c>
      <c r="U26" s="212" t="n">
        <f aca="false">IF(ISERROR(S26*J26*K26),0,S26*J26*K26)</f>
        <v>24</v>
      </c>
      <c r="V26" s="228" t="n">
        <f aca="false">IF(ISERROR(S26*K26),0,S26*K26)</f>
        <v>4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OEDSPX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85</v>
      </c>
    </row>
    <row r="27" customFormat="false" ht="12.75" hidden="false" customHeight="false" outlineLevel="0" collapsed="false">
      <c r="A27" s="216" t="s">
        <v>83</v>
      </c>
      <c r="B27" s="217" t="n">
        <v>0.0371</v>
      </c>
      <c r="C27" s="218"/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Phormidium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0.0371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13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Phormidium sp.</v>
      </c>
      <c r="M27" s="225"/>
      <c r="N27" s="225"/>
      <c r="O27" s="225"/>
      <c r="P27" s="226" t="s">
        <v>79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6414</v>
      </c>
      <c r="R27" s="211" t="n">
        <f aca="false">IF(ISTEXT(H27),"",(B27*$B$7/100)+(C27*$C$7/100))</f>
        <v>0.0371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13</v>
      </c>
      <c r="U27" s="212" t="n">
        <f aca="false">IF(ISERROR(S27*J27*K27),0,S27*J27*K27)</f>
        <v>26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PHOSPX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88</v>
      </c>
    </row>
    <row r="28" customFormat="false" ht="12.75" hidden="false" customHeight="false" outlineLevel="0" collapsed="false">
      <c r="A28" s="216" t="s">
        <v>84</v>
      </c>
      <c r="B28" s="217" t="n">
        <v>0.126375675675676</v>
      </c>
      <c r="C28" s="218"/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Spirogyra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0.126375675675676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10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Spirogyra sp.</v>
      </c>
      <c r="M28" s="225"/>
      <c r="N28" s="225"/>
      <c r="O28" s="225"/>
      <c r="P28" s="226" t="s">
        <v>79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1147</v>
      </c>
      <c r="R28" s="211" t="n">
        <f aca="false">IF(ISTEXT(H28),"",(B28*$B$7/100)+(C28*$C$7/100))</f>
        <v>0.126375675675676</v>
      </c>
      <c r="S28" s="212" t="n">
        <f aca="false">IF(OR(ISTEXT(H28),R28=0),"",IF(R28&lt;0.1,1,IF(R28&lt;1,2,IF(R28&lt;10,3,IF(R28&lt;50,4,IF(R28&gt;=50,5,""))))))</f>
        <v>2</v>
      </c>
      <c r="T28" s="212" t="n">
        <f aca="false">IF(ISERROR(S28*J28),0,S28*J28)</f>
        <v>20</v>
      </c>
      <c r="U28" s="212" t="n">
        <f aca="false">IF(ISERROR(S28*J28*K28),0,S28*J28*K28)</f>
        <v>20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SPISPX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102</v>
      </c>
    </row>
    <row r="29" customFormat="false" ht="12.75" hidden="false" customHeight="false" outlineLevel="0" collapsed="false">
      <c r="A29" s="216" t="s">
        <v>85</v>
      </c>
      <c r="B29" s="217" t="n">
        <v>0.0007</v>
      </c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Cinclidotus fontinaloides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0.0007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12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Cinclidotus fontinaloides</v>
      </c>
      <c r="M29" s="225"/>
      <c r="N29" s="225"/>
      <c r="O29" s="225"/>
      <c r="P29" s="226" t="s">
        <v>79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1320</v>
      </c>
      <c r="R29" s="211" t="n">
        <f aca="false">IF(ISTEXT(H29),"",(B29*$B$7/100)+(C29*$C$7/100))</f>
        <v>0.0007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12</v>
      </c>
      <c r="U29" s="212" t="n">
        <f aca="false">IF(ISERROR(S29*J29*K29),0,S29*J29*K29)</f>
        <v>24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CINFON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223</v>
      </c>
    </row>
    <row r="30" customFormat="false" ht="12.75" hidden="false" customHeight="false" outlineLevel="0" collapsed="false">
      <c r="A30" s="216" t="s">
        <v>86</v>
      </c>
      <c r="B30" s="217" t="n">
        <v>0.0014</v>
      </c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Cinclidotus riparius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0.0014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13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Cinclidotus riparius</v>
      </c>
      <c r="M30" s="225"/>
      <c r="N30" s="225"/>
      <c r="O30" s="225"/>
      <c r="P30" s="226" t="s">
        <v>79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1321</v>
      </c>
      <c r="R30" s="211" t="n">
        <f aca="false">IF(ISTEXT(H30),"",(B30*$B$7/100)+(C30*$C$7/100))</f>
        <v>0.0014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13</v>
      </c>
      <c r="U30" s="212" t="n">
        <f aca="false">IF(ISERROR(S30*J30*K30),0,S30*J30*K30)</f>
        <v>26</v>
      </c>
      <c r="V30" s="228" t="n">
        <f aca="false">IF(ISERROR(S30*K30),0,S30*K30)</f>
        <v>2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CINRIP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224</v>
      </c>
    </row>
    <row r="31" customFormat="false" ht="12.75" hidden="false" customHeight="false" outlineLevel="0" collapsed="false">
      <c r="A31" s="216" t="s">
        <v>87</v>
      </c>
      <c r="B31" s="217" t="n">
        <v>0.0014</v>
      </c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Fontinalis antipyretica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0.0014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BRm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5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10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Fontinalis antipyretica</v>
      </c>
      <c r="M31" s="225"/>
      <c r="N31" s="225"/>
      <c r="O31" s="225"/>
      <c r="P31" s="226" t="s">
        <v>79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1310</v>
      </c>
      <c r="R31" s="211" t="n">
        <f aca="false">IF(ISTEXT(H31),"",(B31*$B$7/100)+(C31*$C$7/100))</f>
        <v>0.0014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10</v>
      </c>
      <c r="U31" s="212" t="n">
        <f aca="false">IF(ISERROR(S31*J31*K31),0,S31*J31*K31)</f>
        <v>10</v>
      </c>
      <c r="V31" s="228" t="n">
        <f aca="false">IF(ISERROR(S31*K31),0,S31*K31)</f>
        <v>1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FONANT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273</v>
      </c>
    </row>
    <row r="32" customFormat="false" ht="12.75" hidden="false" customHeight="false" outlineLevel="0" collapsed="false">
      <c r="A32" s="216" t="s">
        <v>88</v>
      </c>
      <c r="B32" s="217" t="n">
        <v>0.0007</v>
      </c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Leptodictyum riparium 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0.0007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BRm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5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5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2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Leptodictyum riparium </v>
      </c>
      <c r="M32" s="225"/>
      <c r="N32" s="225"/>
      <c r="O32" s="225"/>
      <c r="P32" s="226" t="s">
        <v>79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1244</v>
      </c>
      <c r="R32" s="211" t="n">
        <f aca="false">IF(ISTEXT(H32),"",(B32*$B$7/100)+(C32*$C$7/100))</f>
        <v>0.0007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5</v>
      </c>
      <c r="U32" s="212" t="n">
        <f aca="false">IF(ISERROR(S32*J32*K32),0,S32*J32*K32)</f>
        <v>10</v>
      </c>
      <c r="V32" s="228" t="n">
        <f aca="false">IF(ISERROR(S32*K32),0,S32*K32)</f>
        <v>2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LEORIP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298</v>
      </c>
    </row>
    <row r="33" customFormat="false" ht="12.75" hidden="false" customHeight="false" outlineLevel="0" collapsed="false">
      <c r="A33" s="216" t="s">
        <v>89</v>
      </c>
      <c r="B33" s="217" t="n">
        <v>0.0007</v>
      </c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Oxyrrhynchium hians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0.0007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BRm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5</v>
      </c>
      <c r="I33" s="8" t="n">
        <f aca="false">IF(A33="","",1)</f>
        <v>1</v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nc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nc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Oxyrrhynchium hians</v>
      </c>
      <c r="M33" s="225"/>
      <c r="N33" s="225"/>
      <c r="O33" s="225"/>
      <c r="P33" s="226" t="s">
        <v>79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31547</v>
      </c>
      <c r="R33" s="211" t="n">
        <f aca="false">IF(ISTEXT(H33),"",(B33*$B$7/100)+(C33*$C$7/100))</f>
        <v>0.0007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OXYHIA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307</v>
      </c>
    </row>
    <row r="34" customFormat="false" ht="12.75" hidden="false" customHeight="false" outlineLevel="0" collapsed="false">
      <c r="A34" s="216" t="s">
        <v>90</v>
      </c>
      <c r="B34" s="217" t="n">
        <v>1.50810810810811</v>
      </c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Ceratophyllum demersum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1.50810810810811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PHy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7</v>
      </c>
      <c r="I34" s="8" t="n">
        <f aca="false">IF(A34="","",1)</f>
        <v>1</v>
      </c>
      <c r="J34" s="224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5</v>
      </c>
      <c r="K34" s="224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2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Ceratophyllum demersum</v>
      </c>
      <c r="M34" s="225"/>
      <c r="N34" s="225"/>
      <c r="O34" s="225"/>
      <c r="P34" s="226" t="s">
        <v>79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1717</v>
      </c>
      <c r="R34" s="211" t="n">
        <f aca="false">IF(ISTEXT(H34),"",(B34*$B$7/100)+(C34*$C$7/100))</f>
        <v>1.50810810810811</v>
      </c>
      <c r="S34" s="212" t="n">
        <f aca="false">IF(OR(ISTEXT(H34),R34=0),"",IF(R34&lt;0.1,1,IF(R34&lt;1,2,IF(R34&lt;10,3,IF(R34&lt;50,4,IF(R34&gt;=50,5,""))))))</f>
        <v>3</v>
      </c>
      <c r="T34" s="212" t="n">
        <f aca="false">IF(ISERROR(S34*J34),0,S34*J34)</f>
        <v>15</v>
      </c>
      <c r="U34" s="212" t="n">
        <f aca="false">IF(ISERROR(S34*J34*K34),0,S34*J34*K34)</f>
        <v>30</v>
      </c>
      <c r="V34" s="228" t="n">
        <f aca="false">IF(ISERROR(S34*K34),0,S34*K34)</f>
        <v>6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CERDEM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445</v>
      </c>
    </row>
    <row r="35" customFormat="false" ht="12.75" hidden="false" customHeight="false" outlineLevel="0" collapsed="false">
      <c r="A35" s="216" t="s">
        <v>91</v>
      </c>
      <c r="B35" s="217" t="n">
        <v>7.66621621621622</v>
      </c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Egeria densa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7.66621621621622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PHy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7</v>
      </c>
      <c r="I35" s="8" t="n">
        <f aca="false">IF(A35="","",1)</f>
        <v>1</v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nc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nc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Egeria densa</v>
      </c>
      <c r="M35" s="225"/>
      <c r="N35" s="225"/>
      <c r="O35" s="225"/>
      <c r="P35" s="226" t="s">
        <v>79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19626</v>
      </c>
      <c r="R35" s="211" t="n">
        <f aca="false">IF(ISTEXT(H35),"",(B35*$B$7/100)+(C35*$C$7/100))</f>
        <v>7.66621621621622</v>
      </c>
      <c r="S35" s="212" t="n">
        <f aca="false">IF(OR(ISTEXT(H35),R35=0),"",IF(R35&lt;0.1,1,IF(R35&lt;1,2,IF(R35&lt;10,3,IF(R35&lt;50,4,IF(R35&gt;=50,5,""))))))</f>
        <v>3</v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EGEDEN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449</v>
      </c>
    </row>
    <row r="36" customFormat="false" ht="12.75" hidden="false" customHeight="false" outlineLevel="0" collapsed="false">
      <c r="A36" s="216" t="s">
        <v>92</v>
      </c>
      <c r="B36" s="217" t="n">
        <v>0.0628378378378379</v>
      </c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Elodea nuttallii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0.0628378378378379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PHy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7</v>
      </c>
      <c r="I36" s="8" t="n">
        <f aca="false">IF(A36="","",1)</f>
        <v>1</v>
      </c>
      <c r="J36" s="224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8</v>
      </c>
      <c r="K36" s="224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2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Elodea nuttallii</v>
      </c>
      <c r="M36" s="225"/>
      <c r="N36" s="225"/>
      <c r="O36" s="225"/>
      <c r="P36" s="226" t="s">
        <v>79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1588</v>
      </c>
      <c r="R36" s="211" t="n">
        <f aca="false">IF(ISTEXT(H36),"",(B36*$B$7/100)+(C36*$C$7/100))</f>
        <v>0.0628378378378379</v>
      </c>
      <c r="S36" s="212" t="n">
        <f aca="false">IF(OR(ISTEXT(H36),R36=0),"",IF(R36&lt;0.1,1,IF(R36&lt;1,2,IF(R36&lt;10,3,IF(R36&lt;50,4,IF(R36&gt;=50,5,""))))))</f>
        <v>1</v>
      </c>
      <c r="T36" s="212" t="n">
        <f aca="false">IF(ISERROR(S36*J36),0,S36*J36)</f>
        <v>8</v>
      </c>
      <c r="U36" s="212" t="n">
        <f aca="false">IF(ISERROR(S36*J36*K36),0,S36*J36*K36)</f>
        <v>16</v>
      </c>
      <c r="V36" s="228" t="n">
        <f aca="false">IF(ISERROR(S36*K36),0,S36*K36)</f>
        <v>2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ELONUT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454</v>
      </c>
    </row>
    <row r="37" customFormat="false" ht="12.75" hidden="false" customHeight="false" outlineLevel="0" collapsed="false">
      <c r="A37" s="216" t="s">
        <v>93</v>
      </c>
      <c r="B37" s="217" t="n">
        <v>3.26756756756757</v>
      </c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Myriophyllum spicatum</v>
      </c>
      <c r="E37" s="220" t="e">
        <f aca="false">IF(D37="",0,VLOOKUP(D37,D$22:D36,1,0))</f>
        <v>#N/A</v>
      </c>
      <c r="F37" s="221" t="n">
        <f aca="false">IF(AND(OR(A37="",A37="!!!!!!"),B37="",C37=""),"",IF(OR(AND(B37="",C37=""),ISERROR(C37+B37)),"!!!",($B37*$B$7+$C37*$C$7)/100))</f>
        <v>3.26756756756757</v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PHy</v>
      </c>
      <c r="H37" s="223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7</v>
      </c>
      <c r="I37" s="8" t="n">
        <f aca="false">IF(A37="","",1)</f>
        <v>1</v>
      </c>
      <c r="J37" s="224" t="n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8</v>
      </c>
      <c r="K37" s="224" t="n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2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Myriophyllum spicatum</v>
      </c>
      <c r="M37" s="225"/>
      <c r="N37" s="225"/>
      <c r="O37" s="225"/>
      <c r="P37" s="226" t="s">
        <v>79</v>
      </c>
      <c r="Q37" s="227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1778</v>
      </c>
      <c r="R37" s="211" t="n">
        <f aca="false">IF(ISTEXT(H37),"",(B37*$B$7/100)+(C37*$C$7/100))</f>
        <v>3.26756756756757</v>
      </c>
      <c r="S37" s="212" t="n">
        <f aca="false">IF(OR(ISTEXT(H37),R37=0),"",IF(R37&lt;0.1,1,IF(R37&lt;1,2,IF(R37&lt;10,3,IF(R37&lt;50,4,IF(R37&gt;=50,5,""))))))</f>
        <v>3</v>
      </c>
      <c r="T37" s="212" t="n">
        <f aca="false">IF(ISERROR(S37*J37),0,S37*J37)</f>
        <v>24</v>
      </c>
      <c r="U37" s="212" t="n">
        <f aca="false">IF(ISERROR(S37*J37*K37),0,S37*J37*K37)</f>
        <v>48</v>
      </c>
      <c r="V37" s="228" t="n">
        <f aca="false">IF(ISERROR(S37*K37),0,S37*K37)</f>
        <v>6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>MYRSPI</v>
      </c>
      <c r="Z37" s="197" t="n">
        <f aca="false">IF(ISERROR(MATCH(A37,'[1]liste reference'!$A$6:$A$1174,0)),IF(ISERROR(MATCH(A37,'[1]liste reference'!$B$6:$B$1174,0)),"",(MATCH(A37,'[1]liste reference'!$B$6:$B$1174,0))),(MATCH(A37,'[1]liste reference'!$A$6:$A$1174,0)))</f>
        <v>486</v>
      </c>
    </row>
    <row r="38" customFormat="false" ht="12.75" hidden="false" customHeight="false" outlineLevel="0" collapsed="false">
      <c r="A38" s="216" t="s">
        <v>94</v>
      </c>
      <c r="B38" s="217" t="n">
        <v>0.87972972972973</v>
      </c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>Najas marina</v>
      </c>
      <c r="E38" s="220" t="e">
        <f aca="false">IF(D38="",0,VLOOKUP(D38,D$22:D37,1,0))</f>
        <v>#N/A</v>
      </c>
      <c r="F38" s="221" t="n">
        <f aca="false">IF(AND(OR(A38="",A38="!!!!!!"),B38="",C38=""),"",IF(OR(AND(B38="",C38=""),ISERROR(C38+B38)),"!!!",($B38*$B$7+$C38*$C$7)/100))</f>
        <v>0.87972972972973</v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>PHy</v>
      </c>
      <c r="H38" s="223" t="n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7</v>
      </c>
      <c r="I38" s="8" t="n">
        <f aca="false">IF(A38="","",1)</f>
        <v>1</v>
      </c>
      <c r="J38" s="224" t="n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5</v>
      </c>
      <c r="K38" s="224" t="n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3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>Najas marina</v>
      </c>
      <c r="M38" s="225"/>
      <c r="N38" s="225"/>
      <c r="O38" s="225"/>
      <c r="P38" s="226" t="s">
        <v>79</v>
      </c>
      <c r="Q38" s="227" t="n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>1835</v>
      </c>
      <c r="R38" s="211" t="n">
        <f aca="false">IF(ISTEXT(H38),"",(B38*$B$7/100)+(C38*$C$7/100))</f>
        <v>0.87972972972973</v>
      </c>
      <c r="S38" s="212" t="n">
        <f aca="false">IF(OR(ISTEXT(H38),R38=0),"",IF(R38&lt;0.1,1,IF(R38&lt;1,2,IF(R38&lt;10,3,IF(R38&lt;50,4,IF(R38&gt;=50,5,""))))))</f>
        <v>2</v>
      </c>
      <c r="T38" s="212" t="n">
        <f aca="false">IF(ISERROR(S38*J38),0,S38*J38)</f>
        <v>10</v>
      </c>
      <c r="U38" s="212" t="n">
        <f aca="false">IF(ISERROR(S38*J38*K38),0,S38*J38*K38)</f>
        <v>30</v>
      </c>
      <c r="V38" s="228" t="n">
        <f aca="false">IF(ISERROR(S38*K38),0,S38*K38)</f>
        <v>6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>NAJMAR</v>
      </c>
      <c r="Z38" s="197" t="n">
        <f aca="false">IF(ISERROR(MATCH(A38,'[1]liste reference'!$A$6:$A$1174,0)),IF(ISERROR(MATCH(A38,'[1]liste reference'!$B$6:$B$1174,0)),"",(MATCH(A38,'[1]liste reference'!$B$6:$B$1174,0))),(MATCH(A38,'[1]liste reference'!$A$6:$A$1174,0)))</f>
        <v>492</v>
      </c>
    </row>
    <row r="39" customFormat="false" ht="12.75" hidden="false" customHeight="false" outlineLevel="0" collapsed="false">
      <c r="A39" s="216" t="s">
        <v>16</v>
      </c>
      <c r="B39" s="217" t="n">
        <v>10.0540540540541</v>
      </c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>Potamogeton nodosus</v>
      </c>
      <c r="E39" s="220" t="e">
        <f aca="false">IF(D39="",0,VLOOKUP(D39,D$22:D38,1,0))</f>
        <v>#N/A</v>
      </c>
      <c r="F39" s="221" t="n">
        <f aca="false">IF(AND(OR(A39="",A39="!!!!!!"),B39="",C39=""),"",IF(OR(AND(B39="",C39=""),ISERROR(C39+B39)),"!!!",($B39*$B$7+$C39*$C$7)/100))</f>
        <v>10.0540540540541</v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>PHy</v>
      </c>
      <c r="H39" s="223" t="n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7</v>
      </c>
      <c r="I39" s="8" t="n">
        <f aca="false">IF(A39="","",1)</f>
        <v>1</v>
      </c>
      <c r="J39" s="224" t="n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4</v>
      </c>
      <c r="K39" s="224" t="n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3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>Potamogeton nodosus</v>
      </c>
      <c r="M39" s="225"/>
      <c r="N39" s="225"/>
      <c r="O39" s="225"/>
      <c r="P39" s="226" t="s">
        <v>79</v>
      </c>
      <c r="Q39" s="227" t="n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>1652</v>
      </c>
      <c r="R39" s="211" t="n">
        <f aca="false">IF(ISTEXT(H39),"",(B39*$B$7/100)+(C39*$C$7/100))</f>
        <v>10.0540540540541</v>
      </c>
      <c r="S39" s="212" t="n">
        <f aca="false">IF(OR(ISTEXT(H39),R39=0),"",IF(R39&lt;0.1,1,IF(R39&lt;1,2,IF(R39&lt;10,3,IF(R39&lt;50,4,IF(R39&gt;=50,5,""))))))</f>
        <v>4</v>
      </c>
      <c r="T39" s="212" t="n">
        <f aca="false">IF(ISERROR(S39*J39),0,S39*J39)</f>
        <v>16</v>
      </c>
      <c r="U39" s="212" t="n">
        <f aca="false">IF(ISERROR(S39*J39*K39),0,S39*J39*K39)</f>
        <v>48</v>
      </c>
      <c r="V39" s="228" t="n">
        <f aca="false">IF(ISERROR(S39*K39),0,S39*K39)</f>
        <v>12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>POTNOD</v>
      </c>
      <c r="Z39" s="197" t="n">
        <f aca="false">IF(ISERROR(MATCH(A39,'[1]liste reference'!$A$6:$A$1174,0)),IF(ISERROR(MATCH(A39,'[1]liste reference'!$B$6:$B$1174,0)),"",(MATCH(A39,'[1]liste reference'!$B$6:$B$1174,0))),(MATCH(A39,'[1]liste reference'!$A$6:$A$1174,0)))</f>
        <v>530</v>
      </c>
    </row>
    <row r="40" customFormat="false" ht="12.75" hidden="false" customHeight="false" outlineLevel="0" collapsed="false">
      <c r="A40" s="216" t="s">
        <v>95</v>
      </c>
      <c r="B40" s="217" t="n">
        <v>11.5621621621622</v>
      </c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>Potamogeton pectinatus</v>
      </c>
      <c r="E40" s="220" t="e">
        <f aca="false">IF(D40="",0,VLOOKUP(D40,D$22:D39,1,0))</f>
        <v>#N/A</v>
      </c>
      <c r="F40" s="221" t="n">
        <f aca="false">IF(AND(OR(A40="",A40="!!!!!!"),B40="",C40=""),"",IF(OR(AND(B40="",C40=""),ISERROR(C40+B40)),"!!!",($B40*$B$7+$C40*$C$7)/100))</f>
        <v>11.5621621621622</v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>PHy</v>
      </c>
      <c r="H40" s="223" t="n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7</v>
      </c>
      <c r="I40" s="8" t="n">
        <f aca="false">IF(A40="","",1)</f>
        <v>1</v>
      </c>
      <c r="J40" s="224" t="n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2</v>
      </c>
      <c r="K40" s="224" t="n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2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>Potamogeton pectinatus</v>
      </c>
      <c r="M40" s="225"/>
      <c r="N40" s="225"/>
      <c r="O40" s="225"/>
      <c r="P40" s="226" t="s">
        <v>79</v>
      </c>
      <c r="Q40" s="227" t="n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>1655</v>
      </c>
      <c r="R40" s="211" t="n">
        <f aca="false">IF(ISTEXT(H40),"",(B40*$B$7/100)+(C40*$C$7/100))</f>
        <v>11.5621621621622</v>
      </c>
      <c r="S40" s="212" t="n">
        <f aca="false">IF(OR(ISTEXT(H40),R40=0),"",IF(R40&lt;0.1,1,IF(R40&lt;1,2,IF(R40&lt;10,3,IF(R40&lt;50,4,IF(R40&gt;=50,5,""))))))</f>
        <v>4</v>
      </c>
      <c r="T40" s="212" t="n">
        <f aca="false">IF(ISERROR(S40*J40),0,S40*J40)</f>
        <v>8</v>
      </c>
      <c r="U40" s="212" t="n">
        <f aca="false">IF(ISERROR(S40*J40*K40),0,S40*J40*K40)</f>
        <v>16</v>
      </c>
      <c r="V40" s="228" t="n">
        <f aca="false">IF(ISERROR(S40*K40),0,S40*K40)</f>
        <v>8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>POTPEC</v>
      </c>
      <c r="Z40" s="197" t="n">
        <f aca="false">IF(ISERROR(MATCH(A40,'[1]liste reference'!$A$6:$A$1174,0)),IF(ISERROR(MATCH(A40,'[1]liste reference'!$B$6:$B$1174,0)),"",(MATCH(A40,'[1]liste reference'!$B$6:$B$1174,0))),(MATCH(A40,'[1]liste reference'!$A$6:$A$1174,0)))</f>
        <v>532</v>
      </c>
    </row>
    <row r="41" customFormat="false" ht="12.75" hidden="false" customHeight="false" outlineLevel="0" collapsed="false">
      <c r="A41" s="216" t="s">
        <v>96</v>
      </c>
      <c r="B41" s="217" t="n">
        <v>5.02702702702703</v>
      </c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>Potamogeton perfoliatus</v>
      </c>
      <c r="E41" s="220" t="e">
        <f aca="false">IF(D41="",0,VLOOKUP(D41,D$22:D40,1,0))</f>
        <v>#N/A</v>
      </c>
      <c r="F41" s="221" t="n">
        <f aca="false">IF(AND(OR(A41="",A41="!!!!!!"),B41="",C41=""),"",IF(OR(AND(B41="",C41=""),ISERROR(C41+B41)),"!!!",($B41*$B$7+$C41*$C$7)/100))</f>
        <v>5.02702702702703</v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>PHy</v>
      </c>
      <c r="H41" s="223" t="n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7</v>
      </c>
      <c r="I41" s="8" t="n">
        <f aca="false">IF(A41="","",1)</f>
        <v>1</v>
      </c>
      <c r="J41" s="224" t="n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9</v>
      </c>
      <c r="K41" s="224" t="n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2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>Potamogeton perfoliatus</v>
      </c>
      <c r="M41" s="225"/>
      <c r="N41" s="225"/>
      <c r="O41" s="225"/>
      <c r="P41" s="226" t="s">
        <v>79</v>
      </c>
      <c r="Q41" s="227" t="n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>1656</v>
      </c>
      <c r="R41" s="211" t="n">
        <f aca="false">IF(ISTEXT(H41),"",(B41*$B$7/100)+(C41*$C$7/100))</f>
        <v>5.02702702702703</v>
      </c>
      <c r="S41" s="212" t="n">
        <f aca="false">IF(OR(ISTEXT(H41),R41=0),"",IF(R41&lt;0.1,1,IF(R41&lt;1,2,IF(R41&lt;10,3,IF(R41&lt;50,4,IF(R41&gt;=50,5,""))))))</f>
        <v>3</v>
      </c>
      <c r="T41" s="212" t="n">
        <f aca="false">IF(ISERROR(S41*J41),0,S41*J41)</f>
        <v>27</v>
      </c>
      <c r="U41" s="212" t="n">
        <f aca="false">IF(ISERROR(S41*J41*K41),0,S41*J41*K41)</f>
        <v>54</v>
      </c>
      <c r="V41" s="228" t="n">
        <f aca="false">IF(ISERROR(S41*K41),0,S41*K41)</f>
        <v>6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>POTPER</v>
      </c>
      <c r="Z41" s="197" t="n">
        <f aca="false">IF(ISERROR(MATCH(A41,'[1]liste reference'!$A$6:$A$1174,0)),IF(ISERROR(MATCH(A41,'[1]liste reference'!$B$6:$B$1174,0)),"",(MATCH(A41,'[1]liste reference'!$B$6:$B$1174,0))),(MATCH(A41,'[1]liste reference'!$A$6:$A$1174,0)))</f>
        <v>533</v>
      </c>
    </row>
    <row r="42" customFormat="false" ht="12.75" hidden="false" customHeight="false" outlineLevel="0" collapsed="false">
      <c r="A42" s="216" t="s">
        <v>97</v>
      </c>
      <c r="B42" s="217" t="n">
        <v>0.628378378378378</v>
      </c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>Spirodela polyrhiza</v>
      </c>
      <c r="E42" s="220" t="e">
        <f aca="false">IF(D42="",0,VLOOKUP(D42,D$22:D41,1,0))</f>
        <v>#N/A</v>
      </c>
      <c r="F42" s="221" t="n">
        <f aca="false">IF(AND(OR(A42="",A42="!!!!!!"),B42="",C42=""),"",IF(OR(AND(B42="",C42=""),ISERROR(C42+B42)),"!!!",($B42*$B$7+$C42*$C$7)/100))</f>
        <v>0.628378378378378</v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>PHy</v>
      </c>
      <c r="H42" s="223" t="n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7</v>
      </c>
      <c r="I42" s="8" t="n">
        <f aca="false">IF(A42="","",1)</f>
        <v>1</v>
      </c>
      <c r="J42" s="224" t="n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6</v>
      </c>
      <c r="K42" s="224" t="n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2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>Spirodela polyrhiza</v>
      </c>
      <c r="M42" s="225"/>
      <c r="N42" s="225"/>
      <c r="O42" s="225"/>
      <c r="P42" s="226" t="s">
        <v>79</v>
      </c>
      <c r="Q42" s="227" t="n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>1630</v>
      </c>
      <c r="R42" s="211" t="n">
        <f aca="false">IF(ISTEXT(H42),"",(B42*$B$7/100)+(C42*$C$7/100))</f>
        <v>0.628378378378378</v>
      </c>
      <c r="S42" s="212" t="n">
        <f aca="false">IF(OR(ISTEXT(H42),R42=0),"",IF(R42&lt;0.1,1,IF(R42&lt;1,2,IF(R42&lt;10,3,IF(R42&lt;50,4,IF(R42&gt;=50,5,""))))))</f>
        <v>2</v>
      </c>
      <c r="T42" s="212" t="n">
        <f aca="false">IF(ISERROR(S42*J42),0,S42*J42)</f>
        <v>12</v>
      </c>
      <c r="U42" s="212" t="n">
        <f aca="false">IF(ISERROR(S42*J42*K42),0,S42*J42*K42)</f>
        <v>24</v>
      </c>
      <c r="V42" s="228" t="n">
        <f aca="false">IF(ISERROR(S42*K42),0,S42*K42)</f>
        <v>4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>SPRPOL</v>
      </c>
      <c r="Z42" s="197" t="n">
        <f aca="false">IF(ISERROR(MATCH(A42,'[1]liste reference'!$A$6:$A$1174,0)),IF(ISERROR(MATCH(A42,'[1]liste reference'!$B$6:$B$1174,0)),"",(MATCH(A42,'[1]liste reference'!$B$6:$B$1174,0))),(MATCH(A42,'[1]liste reference'!$A$6:$A$1174,0)))</f>
        <v>600</v>
      </c>
    </row>
    <row r="43" customFormat="false" ht="12.75" hidden="false" customHeight="false" outlineLevel="0" collapsed="false">
      <c r="A43" s="216" t="s">
        <v>98</v>
      </c>
      <c r="B43" s="217" t="n">
        <v>9.86554054054054</v>
      </c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>Vallisneria spiralis</v>
      </c>
      <c r="E43" s="220" t="e">
        <f aca="false">IF(D43="",0,VLOOKUP(D43,D$22:D42,1,0))</f>
        <v>#N/A</v>
      </c>
      <c r="F43" s="221" t="n">
        <f aca="false">IF(AND(OR(A43="",A43="!!!!!!"),B43="",C43=""),"",IF(OR(AND(B43="",C43=""),ISERROR(C43+B43)),"!!!",($B43*$B$7+$C43*$C$7)/100))</f>
        <v>9.86554054054054</v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>PHy</v>
      </c>
      <c r="H43" s="223" t="n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7</v>
      </c>
      <c r="I43" s="8" t="n">
        <f aca="false">IF(A43="","",1)</f>
        <v>1</v>
      </c>
      <c r="J43" s="224" t="n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8</v>
      </c>
      <c r="K43" s="224" t="n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2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>Vallisneria spiralis</v>
      </c>
      <c r="M43" s="225"/>
      <c r="N43" s="225"/>
      <c r="O43" s="225"/>
      <c r="P43" s="226" t="s">
        <v>79</v>
      </c>
      <c r="Q43" s="227" t="n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>1598</v>
      </c>
      <c r="R43" s="211" t="n">
        <f aca="false">IF(ISTEXT(H43),"",(B43*$B$7/100)+(C43*$C$7/100))</f>
        <v>9.86554054054054</v>
      </c>
      <c r="S43" s="212" t="n">
        <f aca="false">IF(OR(ISTEXT(H43),R43=0),"",IF(R43&lt;0.1,1,IF(R43&lt;1,2,IF(R43&lt;10,3,IF(R43&lt;50,4,IF(R43&gt;=50,5,""))))))</f>
        <v>3</v>
      </c>
      <c r="T43" s="212" t="n">
        <f aca="false">IF(ISERROR(S43*J43),0,S43*J43)</f>
        <v>24</v>
      </c>
      <c r="U43" s="212" t="n">
        <f aca="false">IF(ISERROR(S43*J43*K43),0,S43*J43*K43)</f>
        <v>48</v>
      </c>
      <c r="V43" s="228" t="n">
        <f aca="false">IF(ISERROR(S43*K43),0,S43*K43)</f>
        <v>6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>VALSPI</v>
      </c>
      <c r="Z43" s="197" t="n">
        <f aca="false">IF(ISERROR(MATCH(A43,'[1]liste reference'!$A$6:$A$1174,0)),IF(ISERROR(MATCH(A43,'[1]liste reference'!$B$6:$B$1174,0)),"",(MATCH(A43,'[1]liste reference'!$B$6:$B$1174,0))),(MATCH(A43,'[1]liste reference'!$A$6:$A$1174,0)))</f>
        <v>613</v>
      </c>
    </row>
    <row r="44" customFormat="false" ht="12.75" hidden="false" customHeight="false" outlineLevel="0" collapsed="false">
      <c r="A44" s="216" t="s">
        <v>99</v>
      </c>
      <c r="B44" s="217" t="n">
        <v>0.0007</v>
      </c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>Phragmites australis</v>
      </c>
      <c r="E44" s="220" t="e">
        <f aca="false">IF(D44="",0,VLOOKUP(D44,D$22:D43,1,0))</f>
        <v>#N/A</v>
      </c>
      <c r="F44" s="221" t="n">
        <f aca="false">IF(AND(OR(A44="",A44="!!!!!!"),B44="",C44=""),"",IF(OR(AND(B44="",C44=""),ISERROR(C44+B44)),"!!!",($B44*$B$7+$C44*$C$7)/100))</f>
        <v>0.0007</v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>PHe</v>
      </c>
      <c r="H44" s="223" t="n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8</v>
      </c>
      <c r="I44" s="8" t="n">
        <f aca="false">IF(A44="","",1)</f>
        <v>1</v>
      </c>
      <c r="J44" s="224" t="n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9</v>
      </c>
      <c r="K44" s="224" t="n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2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>Phragmites australis</v>
      </c>
      <c r="M44" s="225"/>
      <c r="N44" s="225"/>
      <c r="O44" s="225"/>
      <c r="P44" s="226" t="s">
        <v>79</v>
      </c>
      <c r="Q44" s="227" t="n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>1579</v>
      </c>
      <c r="R44" s="211" t="n">
        <f aca="false">IF(ISTEXT(H44),"",(B44*$B$7/100)+(C44*$C$7/100))</f>
        <v>0.0007</v>
      </c>
      <c r="S44" s="212" t="n">
        <f aca="false">IF(OR(ISTEXT(H44),R44=0),"",IF(R44&lt;0.1,1,IF(R44&lt;1,2,IF(R44&lt;10,3,IF(R44&lt;50,4,IF(R44&gt;=50,5,""))))))</f>
        <v>1</v>
      </c>
      <c r="T44" s="212" t="n">
        <f aca="false">IF(ISERROR(S44*J44),0,S44*J44)</f>
        <v>9</v>
      </c>
      <c r="U44" s="212" t="n">
        <f aca="false">IF(ISERROR(S44*J44*K44),0,S44*J44*K44)</f>
        <v>18</v>
      </c>
      <c r="V44" s="228" t="n">
        <f aca="false">IF(ISERROR(S44*K44),0,S44*K44)</f>
        <v>2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>PHRAUS</v>
      </c>
      <c r="Z44" s="197" t="n">
        <f aca="false">IF(ISERROR(MATCH(A44,'[1]liste reference'!$A$6:$A$1174,0)),IF(ISERROR(MATCH(A44,'[1]liste reference'!$B$6:$B$1174,0)),"",(MATCH(A44,'[1]liste reference'!$B$6:$B$1174,0))),(MATCH(A44,'[1]liste reference'!$A$6:$A$1174,0)))</f>
        <v>709</v>
      </c>
    </row>
    <row r="45" customFormat="false" ht="12.75" hidden="false" customHeight="false" outlineLevel="0" collapsed="false">
      <c r="A45" s="216" t="s">
        <v>100</v>
      </c>
      <c r="B45" s="217" t="n">
        <v>0.0007</v>
      </c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>Iris sp.</v>
      </c>
      <c r="E45" s="220" t="e">
        <f aca="false">IF(D45="",0,VLOOKUP(D45,D$22:D44,1,0))</f>
        <v>#N/A</v>
      </c>
      <c r="F45" s="221" t="n">
        <f aca="false">IF(AND(OR(A45="",A45="!!!!!!"),B45="",C45=""),"",IF(OR(AND(B45="",C45=""),ISERROR(C45+B45)),"!!!",($B45*$B$7+$C45*$C$7)/100))</f>
        <v>0.0007</v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>PHx</v>
      </c>
      <c r="H45" s="223" t="n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10</v>
      </c>
      <c r="I45" s="8" t="n">
        <f aca="false">IF(A45="","",1)</f>
        <v>1</v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nc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nc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>Iris sp.</v>
      </c>
      <c r="M45" s="225"/>
      <c r="N45" s="225"/>
      <c r="O45" s="225"/>
      <c r="P45" s="226" t="s">
        <v>79</v>
      </c>
      <c r="Q45" s="227" t="n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>1600</v>
      </c>
      <c r="R45" s="211" t="n">
        <f aca="false">IF(ISTEXT(H45),"",(B45*$B$7/100)+(C45*$C$7/100))</f>
        <v>0.0007</v>
      </c>
      <c r="S45" s="212" t="n">
        <f aca="false">IF(OR(ISTEXT(H45),R45=0),"",IF(R45&lt;0.1,1,IF(R45&lt;1,2,IF(R45&lt;10,3,IF(R45&lt;50,4,IF(R45&gt;=50,5,""))))))</f>
        <v>1</v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>IRISPX</v>
      </c>
      <c r="Z45" s="197" t="n">
        <f aca="false">IF(ISERROR(MATCH(A45,'[1]liste reference'!$A$6:$A$1174,0)),IF(ISERROR(MATCH(A45,'[1]liste reference'!$B$6:$B$1174,0)),"",(MATCH(A45,'[1]liste reference'!$B$6:$B$1174,0))),(MATCH(A45,'[1]liste reference'!$A$6:$A$1174,0)))</f>
        <v>1087</v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79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79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79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79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79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79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79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79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79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79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79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79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79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79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79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79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79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79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79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79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79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79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79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79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79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79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79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79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79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79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79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79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79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79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79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79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51.1412243243243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81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RHONE</v>
      </c>
      <c r="B84" s="180" t="str">
        <f aca="false">C3</f>
        <v>RHONE A ST VALLIER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6.51851851851852</v>
      </c>
      <c r="E84" s="254" t="n">
        <f aca="false">O13</f>
        <v>23</v>
      </c>
      <c r="F84" s="180" t="n">
        <f aca="false">O14</f>
        <v>20</v>
      </c>
      <c r="G84" s="180" t="n">
        <f aca="false">O15</f>
        <v>3</v>
      </c>
      <c r="H84" s="180" t="n">
        <f aca="false">O16</f>
        <v>15</v>
      </c>
      <c r="I84" s="180" t="n">
        <f aca="false">O17</f>
        <v>2</v>
      </c>
      <c r="J84" s="255" t="n">
        <f aca="false">O8</f>
        <v>7.75</v>
      </c>
      <c r="K84" s="256" t="n">
        <f aca="false">O9</f>
        <v>2.9474565306379</v>
      </c>
      <c r="L84" s="257" t="n">
        <f aca="false">O10</f>
        <v>2</v>
      </c>
      <c r="M84" s="257" t="n">
        <f aca="false">O11</f>
        <v>13</v>
      </c>
      <c r="N84" s="256" t="n">
        <f aca="false">P8</f>
        <v>1.95</v>
      </c>
      <c r="O84" s="256" t="n">
        <f aca="false">P9</f>
        <v>0.49749371855331</v>
      </c>
      <c r="P84" s="257" t="n">
        <f aca="false">P10</f>
        <v>1</v>
      </c>
      <c r="Q84" s="257" t="n">
        <f aca="false">P11</f>
        <v>3</v>
      </c>
      <c r="R84" s="257" t="n">
        <f aca="false">F21</f>
        <v>51.1412243243243</v>
      </c>
      <c r="S84" s="257" t="n">
        <f aca="false">L11</f>
        <v>0</v>
      </c>
      <c r="T84" s="257" t="n">
        <f aca="false">L12</f>
        <v>6</v>
      </c>
      <c r="U84" s="257" t="n">
        <f aca="false">L13</f>
        <v>5</v>
      </c>
      <c r="V84" s="258" t="n">
        <f aca="false">L15</f>
        <v>12</v>
      </c>
      <c r="W84" s="259" t="n">
        <f aca="false">L15</f>
        <v>12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101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102</v>
      </c>
      <c r="S87" s="8"/>
      <c r="T87" s="263" t="n">
        <f aca="false">VLOOKUP($T$91,($A$23:$U$82),20,FALSE())</f>
        <v>16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103</v>
      </c>
      <c r="S88" s="8"/>
      <c r="T88" s="263" t="n">
        <f aca="false">VLOOKUP($T$91,($A$23:$U$82),21,FALSE())</f>
        <v>48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104</v>
      </c>
      <c r="S89" s="8"/>
      <c r="T89" s="263" t="n">
        <f aca="false">MAX($V$23:$V$82)</f>
        <v>12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105</v>
      </c>
      <c r="S90" s="8" t="s">
        <v>10</v>
      </c>
      <c r="T90" s="264" t="n">
        <f aca="false">IF(OR(ISERROR(SUM($U$23:$U$82)/SUM($V$23:$V$82)),F7&lt;&gt;100),-1,(SUM($U$23:$U$82)-T88)/(SUM($V$23:$V$82)-T89))</f>
        <v>6.95652173913044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106</v>
      </c>
      <c r="S91" s="212"/>
      <c r="T91" s="212" t="str">
        <f aca="false">INDEX('[1]liste reference'!$A$6:$A$1174,$U$91)</f>
        <v>POTNOD</v>
      </c>
      <c r="U91" s="8" t="n">
        <f aca="false">IF(ISERROR(MATCH($T$93,'[1]liste reference'!$A$6:$A$1174,0)),MATCH($T$93,'[1]liste reference'!$B$6:$B$1174,0),(MATCH($T$93,'[1]liste reference'!$A$6:$A$1174,0)))</f>
        <v>530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107</v>
      </c>
      <c r="S92" s="8"/>
      <c r="T92" s="8" t="n">
        <f aca="false">MATCH(T89,$V$23:$V$82,0)</f>
        <v>17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108</v>
      </c>
      <c r="S93" s="8"/>
      <c r="T93" s="212" t="str">
        <f aca="false">INDEX($A$23:$A$82,$T$92)</f>
        <v>POTNOD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2016-04-26T17:51:04Z</dcterms:created>
  <dc:creator>Laboratoire hydrobiologie SAGE</dc:creator>
  <dc:description/>
  <dc:language>fr-FR</dc:language>
  <cp:lastModifiedBy>Laboratoire hydrobiologie SAGE</cp:lastModifiedBy>
  <dcterms:modified xsi:type="dcterms:W3CDTF">2016-04-26T17:51:08Z</dcterms:modified>
  <cp:revision>0</cp:revision>
  <dc:subject/>
  <dc:title/>
</cp:coreProperties>
</file>