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093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<sst xmlns="http://schemas.openxmlformats.org/spreadsheetml/2006/main" count="211" uniqueCount="101">
  <si>
    <t>Relevés floristiques aquatiques - IBMR</t>
  </si>
  <si>
    <t>Formulaire modèle GIS Macrophytes v_2.6 - février 2012</t>
  </si>
  <si>
    <t>SAGE</t>
  </si>
  <si>
    <t>Laurent Bourgoin Simon Renahy</t>
  </si>
  <si>
    <t>conforme AFNOR T90-395 oct. 2003</t>
  </si>
  <si>
    <t>Doux</t>
  </si>
  <si>
    <t>Doux à Labathie d'Andaure</t>
  </si>
  <si>
    <t>06105568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</si>
  <si>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</si>
  <si>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</si>
  <si>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</si>
  <si>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</si>
  <si>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</si>
  <si>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</si>
  <si>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</si>
  <si>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</si>
  <si>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</si>
  <si>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</si>
  <si>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</si>
  <si>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</si>
  <si>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</si>
  <si>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</si>
  <si>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</si>
  <si>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</si>
  <si>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</si>
  <si>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</si>
  <si>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</si>
  <si>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</si>
  <si>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</si>
  <si>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</si>
  <si>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</si>
  <si>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</si>
  <si>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</si>
  <si>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</si>
  <si>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</si>
  <si>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</si>
  <si>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</si>
  <si>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</si>
  <si>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</si>
  <si>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</si>
  <si>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</si>
  <si>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</si>
  <si>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</si>
  <si>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</si>
  <si>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</si>
  <si>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</si>
  <si>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</si>
  <si>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</si>
  <si>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</si>
  <si>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</si>
  <si>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</si>
  <si>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</si>
  <si>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</si>
  <si>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</si>
  <si>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</si>
  <si>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</si>
  <si>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</si>
  <si>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</si>
  <si>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</si>
  <si>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</si>
  <si>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</si>
  <si>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</si>
  <si>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</si>
  <si>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</si>
  <si>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</si>
  <si>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</si>
  <si>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</si>
  <si>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</si>
  <si>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</si>
  <si>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</si>
  <si>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</si>
  <si>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</si>
  <si>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</si>
  <si>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</si>
  <si>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</si>
  <si>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</si>
  <si>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</si>
  <si>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AUDSPX</t>
  </si>
  <si>
    <t>LEASPX</t>
  </si>
  <si>
    <t>PHOSPX</t>
  </si>
  <si>
    <t>SPISPX</t>
  </si>
  <si>
    <t>VAUSPX</t>
  </si>
  <si>
    <t>AMBFLU</t>
  </si>
  <si>
    <t>FONANT</t>
  </si>
  <si>
    <t>HYGLUR</t>
  </si>
  <si>
    <t>RHYRIP</t>
  </si>
  <si>
    <t>GLYFLU</t>
  </si>
  <si>
    <t>LYCEUR</t>
  </si>
  <si>
    <t>PHAARU</t>
  </si>
  <si>
    <t>SCISYL</t>
  </si>
  <si>
    <t>Newcod</t>
  </si>
  <si>
    <t>Alnus glutinosa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</si>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</sst>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2" borderId="46" xfId="0" applyNumberFormat="1" applyFont="1" applyFill="1" applyBorder="1" applyAlignment="1" applyProtection="1">
      <alignment horizontal="center"/>
      <protection locked="0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2" borderId="50" xfId="0" applyNumberFormat="1" applyFont="1" applyFill="1" applyBorder="1" applyAlignment="1" applyProtection="1">
      <alignment horizontal="center"/>
      <protection locked="0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2" borderId="56" xfId="0" applyNumberFormat="1" applyFont="1" applyFill="1" applyBorder="1" applyAlignment="1" applyProtection="1">
      <alignment horizontal="center"/>
      <protection locked="0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2" borderId="60" xfId="0" applyNumberFormat="1" applyFont="1" applyFill="1" applyBorder="1" applyAlignment="1" applyProtection="1">
      <alignment horizontal="center"/>
      <protection locked="0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41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DOULA_21-06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X21" sqref="X21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41081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13.451612903225806</v>
      </c>
      <c r="M5" s="52"/>
      <c r="N5" s="53"/>
      <c r="O5" s="54">
        <v>13.08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11.692307692307692</v>
      </c>
      <c r="O8" s="80">
        <f>AVERAGE(J23:J82)</f>
        <v>1.6153846153846154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3.39</v>
      </c>
      <c r="C9" s="83">
        <v>0.1</v>
      </c>
      <c r="D9" s="84"/>
      <c r="E9" s="84"/>
      <c r="F9" s="85">
        <f aca="true" t="shared" si="0" ref="F9:F15">($B9*$B$7+$C9*$C$7)/100</f>
        <v>3.0610000000000004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3.473341699876728</v>
      </c>
      <c r="O9" s="80">
        <f>STDEV(J23:J82)</f>
        <v>0.6504436355879911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19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1.83</v>
      </c>
      <c r="C12" s="114">
        <v>0.01</v>
      </c>
      <c r="D12" s="107"/>
      <c r="E12" s="107"/>
      <c r="F12" s="108">
        <f t="shared" si="0"/>
        <v>1.6480000000000001</v>
      </c>
      <c r="G12" s="115"/>
      <c r="H12" s="66"/>
      <c r="I12" s="268" t="s">
        <v>37</v>
      </c>
      <c r="J12" s="259"/>
      <c r="K12" s="110">
        <f>COUNTIF($G$23:$G$82,"=ALG")</f>
        <v>5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1.56</v>
      </c>
      <c r="C13" s="114"/>
      <c r="D13" s="107"/>
      <c r="E13" s="107"/>
      <c r="F13" s="108">
        <f t="shared" si="0"/>
        <v>1.4040000000000001</v>
      </c>
      <c r="G13" s="115"/>
      <c r="H13" s="66"/>
      <c r="I13" s="258" t="s">
        <v>39</v>
      </c>
      <c r="J13" s="259"/>
      <c r="K13" s="110">
        <f>COUNTIF($G$23:$G$82,"=BRm")+COUNTIF($G$23:$G$82,"=BRh")</f>
        <v>4</v>
      </c>
      <c r="L13" s="111"/>
      <c r="M13" s="121" t="s">
        <v>40</v>
      </c>
      <c r="N13" s="122">
        <f>COUNTIF(F23:F82,"&gt;0")</f>
        <v>14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13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>
        <v>0.05</v>
      </c>
      <c r="D15" s="107"/>
      <c r="E15" s="107"/>
      <c r="F15" s="108">
        <f t="shared" si="0"/>
        <v>0.005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4</v>
      </c>
      <c r="L15" s="111"/>
      <c r="M15" s="131" t="s">
        <v>46</v>
      </c>
      <c r="N15" s="132">
        <f>COUNTIF(J23:J82,"=1")</f>
        <v>6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6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3.39</v>
      </c>
      <c r="C17" s="114">
        <v>0.01</v>
      </c>
      <c r="D17" s="107"/>
      <c r="E17" s="107"/>
      <c r="F17" s="138"/>
      <c r="G17" s="108">
        <f>($B17*$B$7+$C17*$C$7)/100</f>
        <v>3.0520000000000005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1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>
        <v>0.05</v>
      </c>
      <c r="D18" s="107"/>
      <c r="E18" s="143" t="s">
        <v>52</v>
      </c>
      <c r="F18" s="138"/>
      <c r="G18" s="108">
        <f>($B18*$B$7+$C18*$C$7)/100</f>
        <v>0.005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53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3.0570000000000004</v>
      </c>
      <c r="G19" s="152">
        <f>SUM(G16:G18)</f>
        <v>3.0570000000000004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53</v>
      </c>
      <c r="W19" s="146" t="s">
        <v>53</v>
      </c>
    </row>
    <row r="20" spans="1:23" ht="12.75">
      <c r="A20" s="160" t="s">
        <v>54</v>
      </c>
      <c r="B20" s="161">
        <f>SUM(B23:B82)</f>
        <v>3.39</v>
      </c>
      <c r="C20" s="162">
        <f>SUM(C23:C82)</f>
        <v>0.060000000000000005</v>
      </c>
      <c r="D20" s="163"/>
      <c r="E20" s="164" t="s">
        <v>52</v>
      </c>
      <c r="F20" s="165">
        <f>($B20*$B$7+$C20*$C$7)/100</f>
        <v>3.0570000000000004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55</v>
      </c>
      <c r="R20" s="8"/>
      <c r="S20" s="8"/>
      <c r="T20" s="8"/>
      <c r="U20" s="8"/>
      <c r="V20" s="8" t="s">
        <v>53</v>
      </c>
      <c r="W20" s="146" t="s">
        <v>53</v>
      </c>
    </row>
    <row r="21" spans="1:23" ht="12.75">
      <c r="A21" s="174" t="s">
        <v>56</v>
      </c>
      <c r="B21" s="175">
        <f>B20*B7/100</f>
        <v>3.051</v>
      </c>
      <c r="C21" s="175">
        <f>C20*C7/100</f>
        <v>0.006000000000000001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3.057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57</v>
      </c>
      <c r="R21" s="8"/>
      <c r="S21" s="8"/>
      <c r="T21" s="8"/>
      <c r="U21" s="8"/>
      <c r="V21" s="8" t="s">
        <v>53</v>
      </c>
      <c r="W21" s="146" t="s">
        <v>53</v>
      </c>
    </row>
    <row r="22" spans="1:29" ht="12.75">
      <c r="A22" s="185" t="s">
        <v>58</v>
      </c>
      <c r="B22" s="186" t="s">
        <v>59</v>
      </c>
      <c r="C22" s="187" t="s">
        <v>59</v>
      </c>
      <c r="D22" s="134"/>
      <c r="E22" s="134"/>
      <c r="F22" s="188" t="s">
        <v>60</v>
      </c>
      <c r="G22" s="189" t="s">
        <v>61</v>
      </c>
      <c r="H22" s="134"/>
      <c r="I22" s="190" t="s">
        <v>62</v>
      </c>
      <c r="J22" s="190" t="s">
        <v>63</v>
      </c>
      <c r="K22" s="260" t="s">
        <v>64</v>
      </c>
      <c r="L22" s="260"/>
      <c r="M22" s="260"/>
      <c r="N22" s="260"/>
      <c r="O22" s="261"/>
      <c r="P22" s="191" t="s">
        <v>65</v>
      </c>
      <c r="Q22" s="192" t="s">
        <v>66</v>
      </c>
      <c r="R22" s="193" t="s">
        <v>67</v>
      </c>
      <c r="S22" s="194" t="s">
        <v>68</v>
      </c>
      <c r="T22" s="195" t="s">
        <v>69</v>
      </c>
      <c r="U22" s="196" t="s">
        <v>70</v>
      </c>
      <c r="V22" s="194" t="s">
        <v>71</v>
      </c>
      <c r="Y22" s="8" t="s">
        <v>72</v>
      </c>
      <c r="Z22" s="8" t="s">
        <v>73</v>
      </c>
      <c r="AA22" s="197" t="s">
        <v>74</v>
      </c>
      <c r="AB22" s="197" t="s">
        <v>75</v>
      </c>
      <c r="AC22" s="198" t="s">
        <v>76</v>
      </c>
    </row>
    <row r="23" spans="1:55" ht="12.75">
      <c r="A23" s="199" t="s">
        <v>77</v>
      </c>
      <c r="B23" s="200">
        <v>0.01</v>
      </c>
      <c r="C23" s="201"/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Audouinella sp.</v>
      </c>
      <c r="E23" s="202" t="e">
        <f>IF(D23="",,VLOOKUP(D23,D$22:D22,1,0))</f>
        <v>#N/A</v>
      </c>
      <c r="F23" s="203">
        <f aca="true" t="shared" si="1" ref="F23:F82">($B23*$B$7+$C23*$C$7)/100</f>
        <v>0.009000000000000001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13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2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Audouinella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676</v>
      </c>
      <c r="Q23" s="211">
        <f aca="true" t="shared" si="3" ref="Q23:Q82">IF(ISTEXT(H23),"",(B23*$B$7/100)+(C23*$C$7/100))</f>
        <v>0.009000000000000001</v>
      </c>
      <c r="R23" s="212">
        <f aca="true" t="shared" si="4" ref="R23:R82">IF(OR(ISTEXT(H23),Q23=0),"",IF(Q23&lt;0.1,1,IF(Q23&lt;1,2,IF(Q23&lt;10,3,IF(Q23&lt;50,4,IF(Q23&gt;=50,5,""))))))</f>
        <v>1</v>
      </c>
      <c r="S23" s="212">
        <f aca="true" t="shared" si="5" ref="S23:S82">IF(ISERROR(R23*I23),0,R23*I23)</f>
        <v>13</v>
      </c>
      <c r="T23" s="212">
        <f aca="true" t="shared" si="6" ref="T23:T82">IF(ISERROR(R23*I23*J23),0,R23*I23*J23)</f>
        <v>26</v>
      </c>
      <c r="U23" s="212">
        <f aca="true" t="shared" si="7" ref="U23:U82">IF(ISERROR(R23*J23),0,R23*J23)</f>
        <v>2</v>
      </c>
      <c r="V23" s="213">
        <v>2</v>
      </c>
      <c r="W23" s="214" t="s">
        <v>53</v>
      </c>
      <c r="X23" s="214"/>
      <c r="Y23" s="215" t="str">
        <f>IF(A23="new.cod","NEWCOD",IF(AND((Z23=""),ISTEXT(A23)),A23,IF(Z23="","",INDEX('[1]liste reference'!$A$7:$A$892,Z23))))</f>
        <v>AUDSPX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42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78</v>
      </c>
      <c r="B24" s="219">
        <v>1.5</v>
      </c>
      <c r="C24" s="220">
        <v>0.01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Lemanea sp.</v>
      </c>
      <c r="E24" s="221" t="e">
        <f>IF(D24="",,VLOOKUP(D24,D$22:D23,1,0))</f>
        <v>#N/A</v>
      </c>
      <c r="F24" s="222">
        <f t="shared" si="1"/>
        <v>1.351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15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Lemanea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11">
        <f t="shared" si="3"/>
        <v>1.351</v>
      </c>
      <c r="R24" s="212">
        <f t="shared" si="4"/>
        <v>3</v>
      </c>
      <c r="S24" s="212">
        <f t="shared" si="5"/>
        <v>45</v>
      </c>
      <c r="T24" s="212">
        <f t="shared" si="6"/>
        <v>90</v>
      </c>
      <c r="U24" s="226">
        <f t="shared" si="7"/>
        <v>6</v>
      </c>
      <c r="V24" s="213">
        <v>6</v>
      </c>
      <c r="W24" s="227" t="s">
        <v>53</v>
      </c>
      <c r="Y24" s="215" t="str">
        <f>IF(A24="new.cod","NEWCOD",IF(AND((Z24=""),ISTEXT(A24)),A24,IF(Z24="","",INDEX('[1]liste reference'!$A$7:$A$892,Z24))))</f>
        <v>LEASPX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407</v>
      </c>
      <c r="AA24" s="216"/>
      <c r="AB24" s="217"/>
      <c r="AC24" s="217"/>
      <c r="BC24" s="8">
        <f t="shared" si="8"/>
        <v>1</v>
      </c>
    </row>
    <row r="25" spans="1:55" ht="12.75">
      <c r="A25" s="218" t="s">
        <v>79</v>
      </c>
      <c r="B25" s="219">
        <v>0.01</v>
      </c>
      <c r="C25" s="220"/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Phormidium sp.</v>
      </c>
      <c r="E25" s="221" t="e">
        <f>IF(D25="",,VLOOKUP(D25,D$22:D24,1,0))</f>
        <v>#N/A</v>
      </c>
      <c r="F25" s="222">
        <f t="shared" si="1"/>
        <v>0.009000000000000001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13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Phormidium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1">
        <f t="shared" si="3"/>
        <v>0.009000000000000001</v>
      </c>
      <c r="R25" s="212">
        <f t="shared" si="4"/>
        <v>1</v>
      </c>
      <c r="S25" s="212">
        <f t="shared" si="5"/>
        <v>13</v>
      </c>
      <c r="T25" s="212">
        <f t="shared" si="6"/>
        <v>26</v>
      </c>
      <c r="U25" s="226">
        <f t="shared" si="7"/>
        <v>2</v>
      </c>
      <c r="V25" s="213">
        <v>2</v>
      </c>
      <c r="W25" s="214" t="s">
        <v>53</v>
      </c>
      <c r="Y25" s="215" t="str">
        <f>IF(A25="new.cod","NEWCOD",IF(AND((Z25=""),ISTEXT(A25)),A25,IF(Z25="","",INDEX('[1]liste reference'!$A$7:$A$892,Z25))))</f>
        <v>PHOSPX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570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80</v>
      </c>
      <c r="B26" s="219">
        <v>0.3</v>
      </c>
      <c r="C26" s="220"/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Spirogyra sp.</v>
      </c>
      <c r="E26" s="221" t="e">
        <f>IF(D26="",,VLOOKUP(D26,D$22:D25,1,0))</f>
        <v>#N/A</v>
      </c>
      <c r="F26" s="222">
        <f t="shared" si="1"/>
        <v>0.27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10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1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Spirogyra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1147</v>
      </c>
      <c r="Q26" s="211">
        <f t="shared" si="3"/>
        <v>0.27</v>
      </c>
      <c r="R26" s="212">
        <f t="shared" si="4"/>
        <v>2</v>
      </c>
      <c r="S26" s="212">
        <f t="shared" si="5"/>
        <v>20</v>
      </c>
      <c r="T26" s="212">
        <f t="shared" si="6"/>
        <v>20</v>
      </c>
      <c r="U26" s="226">
        <f t="shared" si="7"/>
        <v>2</v>
      </c>
      <c r="V26" s="213">
        <v>2</v>
      </c>
      <c r="W26" s="214" t="s">
        <v>53</v>
      </c>
      <c r="Y26" s="215" t="str">
        <f>IF(A26="new.cod","NEWCOD",IF(AND((Z26=""),ISTEXT(A26)),A26,IF(Z26="","",INDEX('[1]liste reference'!$A$7:$A$892,Z26))))</f>
        <v>SPISPX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815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81</v>
      </c>
      <c r="B27" s="219">
        <v>0.01</v>
      </c>
      <c r="C27" s="220"/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Vaucheria sp.</v>
      </c>
      <c r="E27" s="221" t="e">
        <f>IF(D27="",,VLOOKUP(D27,D$22:D26,1,0))</f>
        <v>#N/A</v>
      </c>
      <c r="F27" s="222">
        <f t="shared" si="1"/>
        <v>0.009000000000000001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ALG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2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4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1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Vaucheria sp.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11">
        <f t="shared" si="3"/>
        <v>0.009000000000000001</v>
      </c>
      <c r="R27" s="212">
        <f t="shared" si="4"/>
        <v>1</v>
      </c>
      <c r="S27" s="212">
        <f t="shared" si="5"/>
        <v>4</v>
      </c>
      <c r="T27" s="212">
        <f t="shared" si="6"/>
        <v>4</v>
      </c>
      <c r="U27" s="226">
        <f t="shared" si="7"/>
        <v>1</v>
      </c>
      <c r="V27" s="213">
        <v>1</v>
      </c>
      <c r="W27" s="214" t="s">
        <v>53</v>
      </c>
      <c r="Y27" s="215" t="str">
        <f>IF(A27="new.cod","NEWCOD",IF(AND((Z27=""),ISTEXT(A27)),A27,IF(Z27="","",INDEX('[1]liste reference'!$A$7:$A$892,Z27))))</f>
        <v>VAUSPX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864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82</v>
      </c>
      <c r="B28" s="219">
        <v>0.01</v>
      </c>
      <c r="C28" s="220"/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Amblystegium fluviatile</v>
      </c>
      <c r="E28" s="221" t="e">
        <f>IF(D28="",,VLOOKUP(D28,D$22:D27,1,0))</f>
        <v>#N/A</v>
      </c>
      <c r="F28" s="222">
        <f t="shared" si="1"/>
        <v>0.009000000000000001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BRm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5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11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2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Amblystegium fluviatile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1223</v>
      </c>
      <c r="Q28" s="211">
        <f t="shared" si="3"/>
        <v>0.009000000000000001</v>
      </c>
      <c r="R28" s="212">
        <f t="shared" si="4"/>
        <v>1</v>
      </c>
      <c r="S28" s="212">
        <f t="shared" si="5"/>
        <v>11</v>
      </c>
      <c r="T28" s="212">
        <f t="shared" si="6"/>
        <v>22</v>
      </c>
      <c r="U28" s="226">
        <f t="shared" si="7"/>
        <v>2</v>
      </c>
      <c r="V28" s="213">
        <v>2</v>
      </c>
      <c r="W28" s="214" t="s">
        <v>53</v>
      </c>
      <c r="Y28" s="215" t="str">
        <f>IF(A28="new.cod","NEWCOD",IF(AND((Z28=""),ISTEXT(A28)),A28,IF(Z28="","",INDEX('[1]liste reference'!$A$7:$A$892,Z28))))</f>
        <v>AMBFLU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23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83</v>
      </c>
      <c r="B29" s="219">
        <v>0.05</v>
      </c>
      <c r="C29" s="220"/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Fontinalis antipyretica</v>
      </c>
      <c r="E29" s="221" t="e">
        <f>IF(D29="",,VLOOKUP(D29,D$22:D28,1,0))</f>
        <v>#N/A</v>
      </c>
      <c r="F29" s="222">
        <f t="shared" si="1"/>
        <v>0.045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BRm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5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10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1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Fontinalis antipyretica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</v>
      </c>
      <c r="Q29" s="211">
        <f t="shared" si="3"/>
        <v>0.045</v>
      </c>
      <c r="R29" s="212">
        <f t="shared" si="4"/>
        <v>1</v>
      </c>
      <c r="S29" s="212">
        <f t="shared" si="5"/>
        <v>10</v>
      </c>
      <c r="T29" s="212">
        <f t="shared" si="6"/>
        <v>10</v>
      </c>
      <c r="U29" s="226">
        <f t="shared" si="7"/>
        <v>1</v>
      </c>
      <c r="V29" s="213">
        <v>1</v>
      </c>
      <c r="W29" s="214" t="s">
        <v>53</v>
      </c>
      <c r="Y29" s="215" t="str">
        <f>IF(A29="new.cod","NEWCOD",IF(AND((Z29=""),ISTEXT(A29)),A29,IF(Z29="","",INDEX('[1]liste reference'!$A$7:$A$892,Z29))))</f>
        <v>FONANT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304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84</v>
      </c>
      <c r="B30" s="219">
        <v>0.25</v>
      </c>
      <c r="C30" s="220"/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Hygrohypnum luridum</v>
      </c>
      <c r="E30" s="221" t="e">
        <f>IF(D30="",,VLOOKUP(D30,D$22:D29,1,0))</f>
        <v>#N/A</v>
      </c>
      <c r="F30" s="222">
        <f t="shared" si="1"/>
        <v>0.225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BRm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5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19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3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Hygrohypnum luridum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124</v>
      </c>
      <c r="Q30" s="211">
        <f t="shared" si="3"/>
        <v>0.225</v>
      </c>
      <c r="R30" s="212">
        <f t="shared" si="4"/>
        <v>2</v>
      </c>
      <c r="S30" s="212">
        <f t="shared" si="5"/>
        <v>38</v>
      </c>
      <c r="T30" s="212">
        <f t="shared" si="6"/>
        <v>114</v>
      </c>
      <c r="U30" s="226">
        <f t="shared" si="7"/>
        <v>6</v>
      </c>
      <c r="V30" s="213">
        <v>6</v>
      </c>
      <c r="W30" s="214" t="s">
        <v>53</v>
      </c>
      <c r="Y30" s="215" t="str">
        <f>IF(A30="new.cod","NEWCOD",IF(AND((Z30=""),ISTEXT(A30)),A30,IF(Z30="","",INDEX('[1]liste reference'!$A$7:$A$892,Z30))))</f>
        <v>HYGLUR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345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85</v>
      </c>
      <c r="B31" s="219">
        <v>1.25</v>
      </c>
      <c r="C31" s="220"/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Rhynchostegium riparioides</v>
      </c>
      <c r="E31" s="221" t="e">
        <f>IF(D31="",,VLOOKUP(D31,D$22:D30,1,0))</f>
        <v>#N/A</v>
      </c>
      <c r="F31" s="222">
        <f t="shared" si="1"/>
        <v>1.125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BRm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5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12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1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Rhynchostegium riparioides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1268</v>
      </c>
      <c r="Q31" s="211">
        <f t="shared" si="3"/>
        <v>1.125</v>
      </c>
      <c r="R31" s="212">
        <f t="shared" si="4"/>
        <v>3</v>
      </c>
      <c r="S31" s="212">
        <f t="shared" si="5"/>
        <v>36</v>
      </c>
      <c r="T31" s="212">
        <f t="shared" si="6"/>
        <v>36</v>
      </c>
      <c r="U31" s="226">
        <f t="shared" si="7"/>
        <v>3</v>
      </c>
      <c r="V31" s="213">
        <v>3</v>
      </c>
      <c r="W31" s="214" t="s">
        <v>53</v>
      </c>
      <c r="Y31" s="215" t="str">
        <f>IF(A31="new.cod","NEWCOD",IF(AND((Z31=""),ISTEXT(A31)),A31,IF(Z31="","",INDEX('[1]liste reference'!$A$7:$A$892,Z31))))</f>
        <v>RHYRIP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705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86</v>
      </c>
      <c r="B32" s="219"/>
      <c r="C32" s="220">
        <v>0.01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Glyceria fluitans</v>
      </c>
      <c r="E32" s="221" t="e">
        <f>IF(D32="",,VLOOKUP(D32,D$22:D31,1,0))</f>
        <v>#N/A</v>
      </c>
      <c r="F32" s="222">
        <f t="shared" si="1"/>
        <v>0.001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PHe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8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14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2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Glyceria fluitans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1564</v>
      </c>
      <c r="Q32" s="211">
        <f t="shared" si="3"/>
        <v>0.001</v>
      </c>
      <c r="R32" s="212">
        <f t="shared" si="4"/>
        <v>1</v>
      </c>
      <c r="S32" s="212">
        <f t="shared" si="5"/>
        <v>14</v>
      </c>
      <c r="T32" s="212">
        <f t="shared" si="6"/>
        <v>28</v>
      </c>
      <c r="U32" s="226">
        <f t="shared" si="7"/>
        <v>2</v>
      </c>
      <c r="V32" s="213">
        <v>2</v>
      </c>
      <c r="W32" s="214" t="s">
        <v>53</v>
      </c>
      <c r="Y32" s="215" t="str">
        <f>IF(A32="new.cod","NEWCOD",IF(AND((Z32=""),ISTEXT(A32)),A32,IF(Z32="","",INDEX('[1]liste reference'!$A$7:$A$892,Z32))))</f>
        <v>GLYFLU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320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87</v>
      </c>
      <c r="B33" s="219"/>
      <c r="C33" s="220">
        <v>0.01</v>
      </c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Lycopus europaeus</v>
      </c>
      <c r="E33" s="221" t="e">
        <f>IF(D33="",,VLOOKUP(D33,D$22:D32,1,0))</f>
        <v>#N/A</v>
      </c>
      <c r="F33" s="222">
        <f t="shared" si="1"/>
        <v>0.001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PHe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8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  <v>11</v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  <v>1</v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Lycopus europaeus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1789</v>
      </c>
      <c r="Q33" s="211">
        <f t="shared" si="3"/>
        <v>0.001</v>
      </c>
      <c r="R33" s="212">
        <f t="shared" si="4"/>
        <v>1</v>
      </c>
      <c r="S33" s="212">
        <f t="shared" si="5"/>
        <v>11</v>
      </c>
      <c r="T33" s="212">
        <f t="shared" si="6"/>
        <v>11</v>
      </c>
      <c r="U33" s="226">
        <f t="shared" si="7"/>
        <v>1</v>
      </c>
      <c r="V33" s="213">
        <v>1</v>
      </c>
      <c r="W33" s="214" t="s">
        <v>53</v>
      </c>
      <c r="Y33" s="215" t="str">
        <f>IF(A33="new.cod","NEWCOD",IF(AND((Z33=""),ISTEXT(A33)),A33,IF(Z33="","",INDEX('[1]liste reference'!$A$7:$A$892,Z33))))</f>
        <v>LYCEUR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433</v>
      </c>
      <c r="AA33" s="216"/>
      <c r="AB33" s="217"/>
      <c r="AC33" s="217"/>
      <c r="BC33" s="8">
        <f t="shared" si="8"/>
        <v>1</v>
      </c>
    </row>
    <row r="34" spans="1:55" ht="12.75">
      <c r="A34" s="218" t="s">
        <v>88</v>
      </c>
      <c r="B34" s="219"/>
      <c r="C34" s="220">
        <v>0.01</v>
      </c>
      <c r="D34" s="221" t="str">
        <f>IF(ISERROR(VLOOKUP($A34,'[1]liste reference'!$A$7:$D$892,2,0)),IF(ISERROR(VLOOKUP($A34,'[1]liste reference'!$B$7:$D$892,1,0)),"",VLOOKUP($A34,'[1]liste reference'!$B$7:$D$892,1,0)),VLOOKUP($A34,'[1]liste reference'!$A$7:$D$892,2,0))</f>
        <v>Phalaris arundinacea</v>
      </c>
      <c r="E34" s="221" t="e">
        <f>IF(D34="",,VLOOKUP(D34,D$22:D33,1,0))</f>
        <v>#N/A</v>
      </c>
      <c r="F34" s="228">
        <f t="shared" si="1"/>
        <v>0.001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PHe</v>
      </c>
      <c r="H34" s="205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8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  <v>10</v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  <v>1</v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Phalaris arundinacea</v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1577</v>
      </c>
      <c r="Q34" s="211">
        <f t="shared" si="3"/>
        <v>0.001</v>
      </c>
      <c r="R34" s="212">
        <f t="shared" si="4"/>
        <v>1</v>
      </c>
      <c r="S34" s="212">
        <f t="shared" si="5"/>
        <v>10</v>
      </c>
      <c r="T34" s="212">
        <f t="shared" si="6"/>
        <v>10</v>
      </c>
      <c r="U34" s="226">
        <f t="shared" si="7"/>
        <v>1</v>
      </c>
      <c r="V34" s="213">
        <v>1</v>
      </c>
      <c r="W34" s="214" t="s">
        <v>53</v>
      </c>
      <c r="Y34" s="215" t="str">
        <f>IF(A34="new.cod","NEWCOD",IF(AND((Z34=""),ISTEXT(A34)),A34,IF(Z34="","",INDEX('[1]liste reference'!$A$7:$A$892,Z34))))</f>
        <v>PHAARU</v>
      </c>
      <c r="Z34" s="8">
        <f>IF(ISERROR(MATCH(A34,'[1]liste reference'!$A$7:$A$892,0)),IF(ISERROR(MATCH(A34,'[1]liste reference'!$B$7:$B$892,0)),"",(MATCH(A34,'[1]liste reference'!$B$7:$B$892,0))),(MATCH(A34,'[1]liste reference'!$A$7:$A$892,0)))</f>
        <v>565</v>
      </c>
      <c r="AA34" s="216"/>
      <c r="AB34" s="217"/>
      <c r="AC34" s="217"/>
      <c r="BC34" s="8">
        <f t="shared" si="8"/>
        <v>1</v>
      </c>
    </row>
    <row r="35" spans="1:55" ht="12.75">
      <c r="A35" s="218" t="s">
        <v>89</v>
      </c>
      <c r="B35" s="219"/>
      <c r="C35" s="220">
        <v>0.01</v>
      </c>
      <c r="D35" s="221" t="str">
        <f>IF(ISERROR(VLOOKUP($A35,'[1]liste reference'!$A$7:$D$892,2,0)),IF(ISERROR(VLOOKUP($A35,'[1]liste reference'!$B$7:$D$892,1,0)),"",VLOOKUP($A35,'[1]liste reference'!$B$7:$D$892,1,0)),VLOOKUP($A35,'[1]liste reference'!$A$7:$D$892,2,0))</f>
        <v>Scirpus sylvaticus</v>
      </c>
      <c r="E35" s="221" t="e">
        <f>IF(D35="",,VLOOKUP(D35,D$22:D34,1,0))</f>
        <v>#N/A</v>
      </c>
      <c r="F35" s="228">
        <f t="shared" si="1"/>
        <v>0.001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PHe</v>
      </c>
      <c r="H35" s="205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8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  <v>10</v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  <v>2</v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Scirpus sylvaticus</v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1525</v>
      </c>
      <c r="Q35" s="211">
        <f t="shared" si="3"/>
        <v>0.001</v>
      </c>
      <c r="R35" s="212">
        <f t="shared" si="4"/>
        <v>1</v>
      </c>
      <c r="S35" s="212">
        <f t="shared" si="5"/>
        <v>10</v>
      </c>
      <c r="T35" s="212">
        <f t="shared" si="6"/>
        <v>20</v>
      </c>
      <c r="U35" s="226">
        <f t="shared" si="7"/>
        <v>2</v>
      </c>
      <c r="V35" s="213">
        <v>2</v>
      </c>
      <c r="W35" s="214" t="s">
        <v>53</v>
      </c>
      <c r="Y35" s="215" t="str">
        <f>IF(A35="new.cod","NEWCOD",IF(AND((Z35=""),ISTEXT(A35)),A35,IF(Z35="","",INDEX('[1]liste reference'!$A$7:$A$892,Z35))))</f>
        <v>SCISYL</v>
      </c>
      <c r="Z35" s="8">
        <f>IF(ISERROR(MATCH(A35,'[1]liste reference'!$A$7:$A$892,0)),IF(ISERROR(MATCH(A35,'[1]liste reference'!$B$7:$B$892,0)),"",(MATCH(A35,'[1]liste reference'!$B$7:$B$892,0))),(MATCH(A35,'[1]liste reference'!$A$7:$A$892,0)))</f>
        <v>764</v>
      </c>
      <c r="AA35" s="216"/>
      <c r="AB35" s="217"/>
      <c r="AC35" s="217"/>
      <c r="BC35" s="8">
        <f t="shared" si="8"/>
        <v>1</v>
      </c>
    </row>
    <row r="36" spans="1:55" ht="12.75">
      <c r="A36" s="218" t="s">
        <v>90</v>
      </c>
      <c r="B36" s="219"/>
      <c r="C36" s="220">
        <v>0.01</v>
      </c>
      <c r="D36" s="221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1">
        <f>IF(D36="",,VLOOKUP(D36,D$22:D35,1,0))</f>
        <v>0</v>
      </c>
      <c r="F36" s="228">
        <f t="shared" si="1"/>
        <v>0.001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    -</v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Alnus glutinosa</v>
      </c>
      <c r="L36" s="225"/>
      <c r="M36" s="225"/>
      <c r="N36" s="225"/>
      <c r="O36" s="210">
        <f t="shared" si="2"/>
      </c>
      <c r="P36" s="210" t="str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No</v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6">
        <f t="shared" si="7"/>
        <v>0</v>
      </c>
      <c r="V36" s="213">
        <v>0</v>
      </c>
      <c r="W36" s="214" t="s">
        <v>53</v>
      </c>
      <c r="Y36" s="215" t="str">
        <f>IF(A36="new.cod","NEWCOD",IF(AND((Z36=""),ISTEXT(A36)),A36,IF(Z36="","",INDEX('[1]liste reference'!$A$7:$A$892,Z36))))</f>
        <v>Newcod</v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/>
      <c r="AB36" s="217" t="s">
        <v>91</v>
      </c>
      <c r="AC36" s="217"/>
      <c r="BC36" s="8">
        <f t="shared" si="8"/>
        <v>1</v>
      </c>
    </row>
    <row r="37" spans="1:55" ht="12.75">
      <c r="A37" s="218" t="s">
        <v>53</v>
      </c>
      <c r="B37" s="219"/>
      <c r="C37" s="220"/>
      <c r="D37" s="221">
        <f>IF(ISERROR(VLOOKUP($A37,'[1]liste reference'!$A$7:$D$892,2,0)),IF(ISERROR(VLOOKUP($A37,'[1]liste reference'!$B$7:$D$892,1,0)),"",VLOOKUP($A37,'[1]liste reference'!$B$7:$D$892,1,0)),VLOOKUP($A37,'[1]liste reference'!$A$7:$D$892,2,0))</f>
      </c>
      <c r="E37" s="221">
        <f>IF(D37="",,VLOOKUP(D37,D$22:D36,1,0))</f>
        <v>0</v>
      </c>
      <c r="F37" s="228">
        <f t="shared" si="1"/>
        <v>0</v>
      </c>
      <c r="G37" s="223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</c>
      <c r="H37" s="205" t="str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x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3"/>
      </c>
      <c r="R37" s="212">
        <f t="shared" si="4"/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53</v>
      </c>
      <c r="Y37" s="215">
        <f>IF(A37="new.cod","NEWCOD",IF(AND((Z37=""),ISTEXT(A37)),A37,IF(Z37="","",INDEX('[1]liste reference'!$A$7:$A$892,Z37))))</f>
      </c>
      <c r="Z37" s="8">
        <f>IF(ISERROR(MATCH(A37,'[1]liste reference'!$A$7:$A$892,0)),IF(ISERROR(MATCH(A37,'[1]liste reference'!$B$7:$B$892,0)),"",(MATCH(A37,'[1]liste reference'!$B$7:$B$892,0))),(MATCH(A37,'[1]liste reference'!$A$7:$A$892,0)))</f>
      </c>
      <c r="AA37" s="216"/>
      <c r="AB37" s="217"/>
      <c r="AC37" s="217"/>
      <c r="BC37" s="8">
        <f t="shared" si="8"/>
      </c>
    </row>
    <row r="38" spans="1:55" ht="12.75">
      <c r="A38" s="218" t="s">
        <v>53</v>
      </c>
      <c r="B38" s="219"/>
      <c r="C38" s="220"/>
      <c r="D38" s="221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1">
        <f>IF(D38="",,VLOOKUP(D38,D$22:D37,1,0))</f>
        <v>0</v>
      </c>
      <c r="F38" s="228">
        <f t="shared" si="1"/>
        <v>0</v>
      </c>
      <c r="G38" s="223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6">
        <f t="shared" si="7"/>
        <v>0</v>
      </c>
      <c r="V38" s="213">
        <v>0</v>
      </c>
      <c r="W38" s="214" t="s">
        <v>53</v>
      </c>
      <c r="Y38" s="215">
        <f>IF(A38="new.cod","NEWCOD",IF(AND((Z38=""),ISTEXT(A38)),A38,IF(Z38="","",INDEX('[1]liste reference'!$A$7:$A$892,Z38))))</f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/>
      <c r="AC38" s="217"/>
      <c r="BC38" s="8">
        <f t="shared" si="8"/>
      </c>
    </row>
    <row r="39" spans="1:55" ht="12.75">
      <c r="A39" s="218" t="s">
        <v>53</v>
      </c>
      <c r="B39" s="219"/>
      <c r="C39" s="220"/>
      <c r="D39" s="221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1">
        <f>IF(D39="",,VLOOKUP(D39,D$22:D38,1,0))</f>
        <v>0</v>
      </c>
      <c r="F39" s="228">
        <f t="shared" si="1"/>
        <v>0</v>
      </c>
      <c r="G39" s="223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53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18" t="s">
        <v>53</v>
      </c>
      <c r="B40" s="219"/>
      <c r="C40" s="220"/>
      <c r="D40" s="221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1">
        <f>IF(D40="",,VLOOKUP(D40,D$22:D39,1,0))</f>
        <v>0</v>
      </c>
      <c r="F40" s="228">
        <f t="shared" si="1"/>
        <v>0</v>
      </c>
      <c r="G40" s="223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53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18" t="s">
        <v>53</v>
      </c>
      <c r="B41" s="219"/>
      <c r="C41" s="220"/>
      <c r="D41" s="221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1">
        <f>IF(D41="",,VLOOKUP(D41,D$22:D40,1,0))</f>
        <v>0</v>
      </c>
      <c r="F41" s="228">
        <f t="shared" si="1"/>
        <v>0</v>
      </c>
      <c r="G41" s="223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53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18" t="s">
        <v>53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53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53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53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53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53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53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53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53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53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53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53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53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53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53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53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53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53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53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53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53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53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53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53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53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53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53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53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53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53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53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53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53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53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53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53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53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53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53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53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53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53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53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53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53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53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53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53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53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53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53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53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53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53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53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53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53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53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53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53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53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53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53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53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53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53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53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53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53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53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53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53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53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53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53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53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92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Doux</v>
      </c>
      <c r="B84" s="248" t="str">
        <f>C3</f>
        <v>Doux à Labathie d'Andaure</v>
      </c>
      <c r="C84" s="249">
        <f>A4</f>
        <v>41081</v>
      </c>
      <c r="D84" s="250">
        <f>IF(ISERROR(SUM($T$23:$T$82)/SUM($U$23:$U$82)),"",SUM($T$23:$T$82)/SUM($U$23:$U$82))</f>
        <v>13.451612903225806</v>
      </c>
      <c r="E84" s="251">
        <f>N13</f>
        <v>14</v>
      </c>
      <c r="F84" s="248">
        <f>N14</f>
        <v>13</v>
      </c>
      <c r="G84" s="248">
        <f>N15</f>
        <v>6</v>
      </c>
      <c r="H84" s="248">
        <f>N16</f>
        <v>6</v>
      </c>
      <c r="I84" s="248">
        <f>N17</f>
        <v>1</v>
      </c>
      <c r="J84" s="252">
        <f>N8</f>
        <v>11.692307692307692</v>
      </c>
      <c r="K84" s="250">
        <f>N9</f>
        <v>3.473341699876728</v>
      </c>
      <c r="L84" s="251">
        <f>N10</f>
        <v>4</v>
      </c>
      <c r="M84" s="251">
        <f>N11</f>
        <v>19</v>
      </c>
      <c r="N84" s="250">
        <f>O8</f>
        <v>1.6153846153846154</v>
      </c>
      <c r="O84" s="250">
        <f>O9</f>
        <v>0.6504436355879911</v>
      </c>
      <c r="P84" s="251">
        <f>O10</f>
        <v>1</v>
      </c>
      <c r="Q84" s="251">
        <f>O11</f>
        <v>3</v>
      </c>
      <c r="R84" s="251">
        <f>F21</f>
        <v>3.057</v>
      </c>
      <c r="S84" s="251">
        <f>K11</f>
        <v>0</v>
      </c>
      <c r="T84" s="251">
        <f>K12</f>
        <v>5</v>
      </c>
      <c r="U84" s="251">
        <f>K13</f>
        <v>4</v>
      </c>
      <c r="V84" s="253">
        <f>K14</f>
        <v>0</v>
      </c>
      <c r="W84" s="254">
        <f>K15</f>
        <v>4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93</v>
      </c>
      <c r="R86" s="8"/>
      <c r="S86" s="213"/>
      <c r="T86" s="8"/>
      <c r="U86" s="8"/>
      <c r="V86" s="8"/>
    </row>
    <row r="87" spans="16:22" ht="12.75" hidden="1">
      <c r="P87" s="8"/>
      <c r="Q87" s="8" t="s">
        <v>94</v>
      </c>
      <c r="R87" s="8"/>
      <c r="S87" s="21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95</v>
      </c>
      <c r="R88" s="8"/>
      <c r="S88" s="213">
        <f>VLOOKUP((S87),($S$23:$U$82),2,0)</f>
        <v>90</v>
      </c>
      <c r="T88" s="8"/>
      <c r="U88" s="8"/>
      <c r="V88" s="8"/>
    </row>
    <row r="89" spans="17:20" ht="12.75">
      <c r="Q89" s="8" t="s">
        <v>96</v>
      </c>
      <c r="R89" s="8"/>
      <c r="S89" s="213">
        <f>VLOOKUP((S87),($S$23:$U$82),3,0)</f>
        <v>6</v>
      </c>
      <c r="T89" s="8"/>
    </row>
    <row r="90" spans="17:20" ht="12.75">
      <c r="Q90" s="8" t="s">
        <v>97</v>
      </c>
      <c r="R90" s="8"/>
      <c r="S90" s="257">
        <f>IF(ISERROR(SUM($T$23:$T$82)/SUM($U$23:$U$82)),"",(SUM($T$23:$T$82)-S88)/(SUM($U$23:$U$82)-S89))</f>
        <v>13.08</v>
      </c>
      <c r="T90" s="8"/>
    </row>
    <row r="91" spans="17:21" ht="12.75">
      <c r="Q91" s="212" t="s">
        <v>98</v>
      </c>
      <c r="R91" s="212"/>
      <c r="S91" s="212" t="str">
        <f>INDEX('[1]liste reference'!$A$7:$A$892,$T$91)</f>
        <v>LEASPX</v>
      </c>
      <c r="T91" s="8">
        <f>IF(ISERROR(MATCH($S$93,'[1]liste reference'!$A$7:$A$892,0)),MATCH($S$93,'[1]liste reference'!$B$7:$B$892,0),(MATCH($S$93,'[1]liste reference'!$A$7:$A$892,0)))</f>
        <v>407</v>
      </c>
      <c r="U91" s="246"/>
    </row>
    <row r="92" spans="17:20" ht="12.75">
      <c r="Q92" s="8" t="s">
        <v>99</v>
      </c>
      <c r="R92" s="8"/>
      <c r="S92" s="8">
        <f>MATCH(S87,$S$23:$S$82,0)</f>
        <v>2</v>
      </c>
      <c r="T92" s="8"/>
    </row>
    <row r="93" spans="17:20" ht="12.75">
      <c r="Q93" s="212" t="s">
        <v>100</v>
      </c>
      <c r="R93" s="8"/>
      <c r="S93" s="212" t="str">
        <f>INDEX($A$23:$A$82,$S$92)</f>
        <v>LEASPX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2012-12-13T11:36:16Z</dcterms:created>
  <dcterms:modified xsi:type="dcterms:W3CDTF">2013-10-03T12:01:59Z</dcterms:modified>
  <cp:category/>
  <cp:version/>
  <cp:contentType/>
  <cp:contentStatus/>
</cp:coreProperties>
</file>