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<sst xmlns="http://schemas.openxmlformats.org/spreadsheetml/2006/main" count="98" uniqueCount="95">
  <si>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</si>
  <si>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</si>
  <si>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</si>
  <si>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L.ISEBE C.BERNARD</t>
  </si>
  <si>
    <t xml:space="preserve">conforme AFNOR T90-395 oct. 2003</t>
  </si>
  <si>
    <t xml:space="preserve">BOISSE</t>
  </si>
  <si>
    <t xml:space="preserve">A SAINT VINCENT LA COMANDERIE</t>
  </si>
  <si>
    <t xml:space="preserve">06106665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</si>
  <si>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</si>
  <si>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</si>
  <si>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</si>
  <si>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</si>
  <si>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</si>
  <si>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</si>
  <si>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</si>
  <si>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</si>
  <si>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</si>
  <si>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</si>
  <si>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</si>
  <si>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</si>
  <si>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</si>
  <si>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</si>
  <si>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</si>
  <si>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</si>
  <si>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</si>
  <si>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</si>
  <si>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</si>
  <si>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</si>
  <si>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</si>
  <si>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</si>
  <si>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</si>
  <si>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</si>
  <si>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</si>
  <si>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</si>
  <si>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</si>
  <si>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</si>
  <si>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</si>
  <si>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</si>
  <si>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</si>
  <si>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</si>
  <si>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</si>
  <si>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</si>
  <si>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</si>
  <si>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</si>
  <si>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</si>
  <si>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</si>
  <si>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</si>
  <si>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</si>
  <si>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</si>
  <si>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</si>
  <si>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</si>
  <si>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</si>
  <si>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</si>
  <si>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</si>
  <si>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</si>
  <si>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</si>
  <si>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</si>
  <si>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</si>
  <si>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</si>
  <si>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</si>
  <si>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</si>
  <si>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</si>
  <si>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</si>
  <si>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</si>
  <si>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</si>
  <si>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</si>
  <si>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</si>
  <si>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</si>
  <si>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</si>
  <si>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</si>
  <si>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</si>
  <si>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</si>
  <si>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</si>
  <si>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</si>
  <si>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</si>
  <si>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</si>
  <si>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</si>
  <si>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Porella platyphylla</t>
  </si>
  <si>
    <t xml:space="preserve">CRAFIL</t>
  </si>
  <si>
    <t xml:space="preserve">FISCRA</t>
  </si>
  <si>
    <t xml:space="preserve">EURHIA</t>
  </si>
  <si>
    <t xml:space="preserve">RHYRIP</t>
  </si>
  <si>
    <t xml:space="preserve">EURSPX</t>
  </si>
  <si>
    <t xml:space="preserve">PELSPX</t>
  </si>
  <si>
    <t xml:space="preserve">Cf.</t>
  </si>
  <si>
    <t xml:space="preserve">endiivifolia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</si>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</sst>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Outlook/X1CU6OS8/12001_BOIVI_18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41078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14.25</v>
      </c>
      <c r="M5" s="53"/>
      <c r="N5" s="54"/>
      <c r="O5" s="55" t="n">
        <v>16.5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14</v>
      </c>
      <c r="O8" s="83" t="n">
        <f aca="false">AVERAGE(J23:J82)</f>
        <v>2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0.4</v>
      </c>
      <c r="C9" s="86" t="n">
        <v>0.01</v>
      </c>
      <c r="D9" s="87"/>
      <c r="E9" s="87"/>
      <c r="F9" s="88" t="n">
        <f aca="false">($B9*$B$7+$C9*$C$7)/100</f>
        <v>0.3805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3.46410161513775</v>
      </c>
      <c r="O9" s="83" t="n">
        <f aca="false">STDEV(J23:J82)</f>
        <v>1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12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18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8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0.4</v>
      </c>
      <c r="C13" s="118" t="n">
        <v>0.01</v>
      </c>
      <c r="D13" s="110"/>
      <c r="E13" s="110"/>
      <c r="F13" s="111" t="n">
        <f aca="false">($B13*$B$7+$C13*$C$7)/100</f>
        <v>0.3805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6</v>
      </c>
      <c r="L13" s="115"/>
      <c r="M13" s="126" t="s">
        <v>40</v>
      </c>
      <c r="N13" s="127" t="n">
        <f aca="false">COUNTIF(F23:F82,"&gt;0")</f>
        <v>7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3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1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1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0.4</v>
      </c>
      <c r="C17" s="118" t="n">
        <v>0.01</v>
      </c>
      <c r="D17" s="110"/>
      <c r="E17" s="110"/>
      <c r="F17" s="142"/>
      <c r="G17" s="111" t="n">
        <f aca="false">($B17*$B$7+$C17*$C$7)/100</f>
        <v>0.3805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0.3805</v>
      </c>
      <c r="G19" s="155" t="n">
        <f aca="false">SUM(G16:G18)</f>
        <v>0.3805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0.42</v>
      </c>
      <c r="C20" s="165" t="n">
        <f aca="false">SUM(C23:C82)</f>
        <v>0.03</v>
      </c>
      <c r="D20" s="166"/>
      <c r="E20" s="167" t="s">
        <v>52</v>
      </c>
      <c r="F20" s="168" t="n">
        <f aca="false">($B20*$B$7+$C20*$C$7)/100</f>
        <v>0.4005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0.399</v>
      </c>
      <c r="C21" s="178" t="n">
        <f aca="false">C20*C7/100</f>
        <v>0.0015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0.4005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2" t="s">
        <v>75</v>
      </c>
    </row>
    <row r="23" customFormat="false" ht="12.75" hidden="false" customHeight="false" outlineLevel="0" collapsed="false">
      <c r="A23" s="203" t="s">
        <v>76</v>
      </c>
      <c r="B23" s="204" t="n">
        <v>0.1</v>
      </c>
      <c r="C23" s="205"/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/>
      </c>
      <c r="E23" s="206" t="n">
        <f aca="false">IF(D23="",0,VLOOKUP(D23,D$22:D22,1,0))</f>
        <v>0</v>
      </c>
      <c r="F23" s="207" t="n">
        <f aca="false">($B23*$B$7+$C23*$C$7)/100</f>
        <v>0.095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    -</v>
      </c>
      <c r="H23" s="209" t="str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x</v>
      </c>
      <c r="I23" s="210" t="str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/>
      </c>
      <c r="J23" s="211" t="str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/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Porella platyphylla</v>
      </c>
      <c r="L23" s="213"/>
      <c r="M23" s="213"/>
      <c r="N23" s="213"/>
      <c r="O23" s="214" t="str">
        <f aca="false">IF(AA23="Cf.","Cf.","")</f>
        <v/>
      </c>
      <c r="P23" s="214" t="str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No</v>
      </c>
      <c r="Q23" s="215" t="str">
        <f aca="false">IF(ISTEXT(H23),"",(B23*$B$7/100)+(C23*$C$7/100))</f>
        <v/>
      </c>
      <c r="R23" s="216" t="str">
        <f aca="false">IF(OR(ISTEXT(H23),Q23=0),"",IF(Q23&lt;0.1,1,IF(Q23&lt;1,2,IF(Q23&lt;10,3,IF(Q23&lt;50,4,IF(Q23&gt;=50,5,""))))))</f>
        <v/>
      </c>
      <c r="S23" s="216" t="n">
        <f aca="false">IF(ISERROR(R23*I23),0,R23*I23)</f>
        <v>0</v>
      </c>
      <c r="T23" s="216" t="n">
        <f aca="false">IF(ISERROR(R23*I23*J23),0,R23*I23*J23)</f>
        <v>0</v>
      </c>
      <c r="U23" s="216" t="n">
        <f aca="false">IF(ISERROR(R23*J23),0,R23*J23)</f>
        <v>0</v>
      </c>
      <c r="V23" s="217" t="n">
        <v>0</v>
      </c>
      <c r="W23" s="218"/>
      <c r="X23" s="218"/>
      <c r="Y23" s="219" t="str">
        <f aca="false">IF(A23="new.cod","NEWCOD",IF(AND((Z23=""),ISTEXT(A23)),A23,IF(Z23="","",INDEX('[1]liste reference'!$A$7:$A$892,Z23))))</f>
        <v>NEWCOD</v>
      </c>
      <c r="Z23" s="10" t="str">
        <f aca="false">IF(ISERROR(MATCH(A23,'[1]liste reference'!$A$7:$A$892,0)),IF(ISERROR(MATCH(A23,'[1]liste reference'!$B$7:$B$892,0)),"",(MATCH(A23,'[1]liste reference'!$B$7:$B$892,0))),(MATCH(A23,'[1]liste reference'!$A$7:$A$892,0)))</f>
        <v/>
      </c>
      <c r="AA23" s="220"/>
      <c r="AB23" s="221" t="s">
        <v>77</v>
      </c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0.05</v>
      </c>
      <c r="C24" s="224"/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Cratoneuron filicinum</v>
      </c>
      <c r="E24" s="225" t="e">
        <f aca="false">IF(D24="",0,VLOOKUP(D24,D$22:D23,1,0))</f>
        <v>#N/A</v>
      </c>
      <c r="F24" s="226" t="n">
        <f aca="false">($B24*$B$7+$C24*$C$7)/100</f>
        <v>0.0475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BRm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5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18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3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Cratoneuron filicinum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1233</v>
      </c>
      <c r="Q24" s="215" t="n">
        <f aca="false">IF(ISTEXT(H24),"",(B24*$B$7/100)+(C24*$C$7/100))</f>
        <v>0.0475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18</v>
      </c>
      <c r="T24" s="216" t="n">
        <f aca="false">IF(ISERROR(R24*I24*J24),0,R24*I24*J24)</f>
        <v>54</v>
      </c>
      <c r="U24" s="230" t="n">
        <f aca="false">IF(ISERROR(R24*J24),0,R24*J24)</f>
        <v>3</v>
      </c>
      <c r="V24" s="217" t="n">
        <v>3</v>
      </c>
      <c r="W24" s="231"/>
      <c r="Y24" s="219" t="str">
        <f aca="false">IF(A24="new.cod","NEWCOD",IF(AND((Z24=""),ISTEXT(A24)),A24,IF(Z24="","",INDEX('[1]liste reference'!$A$7:$A$892,Z24))))</f>
        <v>CRAFIL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193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0.2</v>
      </c>
      <c r="C25" s="224" t="n">
        <v>0.01</v>
      </c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Fissidens crassipes</v>
      </c>
      <c r="E25" s="225" t="e">
        <f aca="false">IF(D25="",0,VLOOKUP(D25,D$22:D24,1,0))</f>
        <v>#N/A</v>
      </c>
      <c r="F25" s="226" t="n">
        <f aca="false">($B25*$B$7+$C25*$C$7)/100</f>
        <v>0.1905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BRm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5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12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Fissidens crassipes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1294</v>
      </c>
      <c r="Q25" s="215" t="n">
        <f aca="false">IF(ISTEXT(H25),"",(B25*$B$7/100)+(C25*$C$7/100))</f>
        <v>0.1905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24</v>
      </c>
      <c r="T25" s="216" t="n">
        <f aca="false">IF(ISERROR(R25*I25*J25),0,R25*I25*J25)</f>
        <v>48</v>
      </c>
      <c r="U25" s="230" t="n">
        <f aca="false">IF(ISERROR(R25*J25),0,R25*J25)</f>
        <v>4</v>
      </c>
      <c r="V25" s="217" t="n">
        <v>4</v>
      </c>
      <c r="W25" s="218"/>
      <c r="Y25" s="219" t="str">
        <f aca="false">IF(A25="new.cod","NEWCOD",IF(AND((Z25=""),ISTEXT(A25)),A25,IF(Z25="","",INDEX('[1]liste reference'!$A$7:$A$892,Z25))))</f>
        <v>FISCRA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291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0.005</v>
      </c>
      <c r="C26" s="224"/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Eurhynchium hians</v>
      </c>
      <c r="E26" s="225" t="e">
        <f aca="false">IF(D26="",0,VLOOKUP(D26,D$22:D25,1,0))</f>
        <v>#N/A</v>
      </c>
      <c r="F26" s="226" t="n">
        <f aca="false">($B26*$B$7+$C26*$C$7)/100</f>
        <v>0.00475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BRm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5</v>
      </c>
      <c r="I26" s="228" t="str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/>
      </c>
      <c r="J26" s="211" t="str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/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Eurhynchium hians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19655</v>
      </c>
      <c r="Q26" s="215" t="n">
        <f aca="false">IF(ISTEXT(H26),"",(B26*$B$7/100)+(C26*$C$7/100))</f>
        <v>0.00475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0</v>
      </c>
      <c r="T26" s="216" t="n">
        <f aca="false">IF(ISERROR(R26*I26*J26),0,R26*I26*J26)</f>
        <v>0</v>
      </c>
      <c r="U26" s="230" t="n">
        <f aca="false">IF(ISERROR(R26*J26),0,R26*J26)</f>
        <v>0</v>
      </c>
      <c r="V26" s="217" t="n">
        <v>0</v>
      </c>
      <c r="W26" s="218"/>
      <c r="Y26" s="219" t="str">
        <f aca="false">IF(A26="new.cod","NEWCOD",IF(AND((Z26=""),ISTEXT(A26)),A26,IF(Z26="","",INDEX('[1]liste reference'!$A$7:$A$892,Z26))))</f>
        <v>EURHIA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281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0.055</v>
      </c>
      <c r="C27" s="224"/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Rhynchostegium riparioides</v>
      </c>
      <c r="E27" s="225" t="e">
        <f aca="false">IF(D27="",0,VLOOKUP(D27,D$22:D26,1,0))</f>
        <v>#N/A</v>
      </c>
      <c r="F27" s="226" t="n">
        <f aca="false">($B27*$B$7+$C27*$C$7)/100</f>
        <v>0.05225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BRm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5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12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Rhynchostegium riparioides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1268</v>
      </c>
      <c r="Q27" s="215" t="n">
        <f aca="false">IF(ISTEXT(H27),"",(B27*$B$7/100)+(C27*$C$7/100))</f>
        <v>0.05225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12</v>
      </c>
      <c r="T27" s="216" t="n">
        <f aca="false">IF(ISERROR(R27*I27*J27),0,R27*I27*J27)</f>
        <v>12</v>
      </c>
      <c r="U27" s="230" t="n">
        <f aca="false">IF(ISERROR(R27*J27),0,R27*J27)</f>
        <v>1</v>
      </c>
      <c r="V27" s="217" t="n">
        <v>1</v>
      </c>
      <c r="W27" s="218"/>
      <c r="Y27" s="219" t="str">
        <f aca="false">IF(A27="new.cod","NEWCOD",IF(AND((Z27=""),ISTEXT(A27)),A27,IF(Z27="","",INDEX('[1]liste reference'!$A$7:$A$892,Z27))))</f>
        <v>RHYRIP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705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/>
      <c r="C28" s="224" t="n">
        <v>0.01</v>
      </c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Eurhynchium sp.</v>
      </c>
      <c r="E28" s="225" t="e">
        <f aca="false">IF(D28="",0,VLOOKUP(D28,D$22:D27,1,0))</f>
        <v>#N/A</v>
      </c>
      <c r="F28" s="226" t="n">
        <f aca="false">($B28*$B$7+$C28*$C$7)/100</f>
        <v>0.0005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BRm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5</v>
      </c>
      <c r="I28" s="228" t="str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/>
      </c>
      <c r="J28" s="211" t="str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/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Eurhynchium sp.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1262</v>
      </c>
      <c r="Q28" s="215" t="n">
        <f aca="false">IF(ISTEXT(H28),"",(B28*$B$7/100)+(C28*$C$7/100))</f>
        <v>0.0005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0</v>
      </c>
      <c r="T28" s="216" t="n">
        <f aca="false">IF(ISERROR(R28*I28*J28),0,R28*I28*J28)</f>
        <v>0</v>
      </c>
      <c r="U28" s="230" t="n">
        <f aca="false">IF(ISERROR(R28*J28),0,R28*J28)</f>
        <v>0</v>
      </c>
      <c r="V28" s="217" t="n">
        <v>0</v>
      </c>
      <c r="W28" s="218"/>
      <c r="Y28" s="219" t="str">
        <f aca="false">IF(A28="new.cod","NEWCOD",IF(AND((Z28=""),ISTEXT(A28)),A28,IF(Z28="","",INDEX('[1]liste reference'!$A$7:$A$892,Z28))))</f>
        <v>EURSPX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283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0.01</v>
      </c>
      <c r="C29" s="224" t="n">
        <v>0.01</v>
      </c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Pellia sp.</v>
      </c>
      <c r="E29" s="225" t="e">
        <f aca="false">IF(D29="",0,VLOOKUP(D29,D$22:D28,1,0))</f>
        <v>#N/A</v>
      </c>
      <c r="F29" s="226" t="n">
        <f aca="false">($B29*$B$7+$C29*$C$7)/100</f>
        <v>0.01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BRh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4</v>
      </c>
      <c r="I29" s="228" t="str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/>
      </c>
      <c r="J29" s="211" t="str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/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Pellia sp.</v>
      </c>
      <c r="L29" s="229"/>
      <c r="M29" s="229"/>
      <c r="N29" s="229"/>
      <c r="O29" s="214" t="str">
        <f aca="false">IF(AA29="Cf.","Cf.","")</f>
        <v>Cf.</v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1196</v>
      </c>
      <c r="Q29" s="215" t="n">
        <f aca="false">IF(ISTEXT(H29),"",(B29*$B$7/100)+(C29*$C$7/100))</f>
        <v>0.01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0</v>
      </c>
      <c r="T29" s="216" t="n">
        <f aca="false">IF(ISERROR(R29*I29*J29),0,R29*I29*J29)</f>
        <v>0</v>
      </c>
      <c r="U29" s="230" t="n">
        <f aca="false">IF(ISERROR(R29*J29),0,R29*J29)</f>
        <v>0</v>
      </c>
      <c r="V29" s="217" t="n">
        <v>0</v>
      </c>
      <c r="W29" s="218"/>
      <c r="Y29" s="219" t="str">
        <f aca="false">IF(A29="new.cod","NEWCOD",IF(AND((Z29=""),ISTEXT(A29)),A29,IF(Z29="","",INDEX('[1]liste reference'!$A$7:$A$892,Z29))))</f>
        <v>PELSPX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562</v>
      </c>
      <c r="AA29" s="220" t="s">
        <v>84</v>
      </c>
      <c r="AB29" s="221" t="s">
        <v>85</v>
      </c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/>
      <c r="B30" s="223"/>
      <c r="C30" s="224"/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/>
      </c>
      <c r="H30" s="209" t="str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x</v>
      </c>
      <c r="I30" s="228" t="str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/>
      </c>
      <c r="J30" s="211" t="str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/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/>
      </c>
      <c r="L30" s="229"/>
      <c r="M30" s="229"/>
      <c r="N30" s="229"/>
      <c r="O30" s="214" t="str">
        <f aca="false">IF(AA30="Cf.","Cf.","")</f>
        <v/>
      </c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30" t="n">
        <f aca="false">IF(ISERROR(R30*J30),0,R30*J30)</f>
        <v>0</v>
      </c>
      <c r="V30" s="217" t="n">
        <v>0</v>
      </c>
      <c r="W30" s="218"/>
      <c r="Y30" s="219" t="str">
        <f aca="false">IF(A30="new.cod","NEWCOD",IF(AND((Z30=""),ISTEXT(A30)),A30,IF(Z30="","",INDEX('[1]liste reference'!$A$7:$A$892,Z30))))</f>
        <v/>
      </c>
      <c r="Z30" s="10" t="str">
        <f aca="false">IF(ISERROR(MATCH(A30,'[1]liste reference'!$A$7:$A$892,0)),IF(ISERROR(MATCH(A30,'[1]liste reference'!$B$7:$B$892,0)),"",(MATCH(A30,'[1]liste reference'!$B$7:$B$892,0))),(MATCH(A30,'[1]liste reference'!$A$7:$A$892,0)))</f>
        <v/>
      </c>
      <c r="AA30" s="220"/>
      <c r="AB30" s="221"/>
      <c r="AC30" s="221"/>
      <c r="BC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/>
      </c>
      <c r="H31" s="209" t="str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x</v>
      </c>
      <c r="I31" s="228" t="str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/>
      </c>
      <c r="J31" s="211" t="str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/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/>
      </c>
      <c r="L31" s="229"/>
      <c r="M31" s="229"/>
      <c r="N31" s="229"/>
      <c r="O31" s="214" t="str">
        <f aca="false">IF(AA31="Cf.","Cf.","")</f>
        <v/>
      </c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30" t="n">
        <f aca="false">IF(ISERROR(R31*J31),0,R31*J31)</f>
        <v>0</v>
      </c>
      <c r="V31" s="217" t="n">
        <v>0</v>
      </c>
      <c r="W31" s="218"/>
      <c r="Y31" s="219" t="str">
        <f aca="false">IF(A31="new.cod","NEWCOD",IF(AND((Z31=""),ISTEXT(A31)),A31,IF(Z31="","",INDEX('[1]liste reference'!$A$7:$A$892,Z31))))</f>
        <v/>
      </c>
      <c r="Z31" s="10" t="str">
        <f aca="false">IF(ISERROR(MATCH(A31,'[1]liste reference'!$A$7:$A$892,0)),IF(ISERROR(MATCH(A31,'[1]liste reference'!$B$7:$B$892,0)),"",(MATCH(A31,'[1]liste reference'!$B$7:$B$892,0))),(MATCH(A31,'[1]liste reference'!$A$7:$A$892,0)))</f>
        <v/>
      </c>
      <c r="AA31" s="220"/>
      <c r="AB31" s="221"/>
      <c r="AC31" s="221"/>
      <c r="BC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/>
      </c>
      <c r="H32" s="209" t="str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x</v>
      </c>
      <c r="I32" s="228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1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/>
      </c>
      <c r="L32" s="229"/>
      <c r="M32" s="229"/>
      <c r="N32" s="229"/>
      <c r="O32" s="214" t="str">
        <f aca="false">IF(AA32="Cf.","Cf.","")</f>
        <v/>
      </c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30" t="n">
        <f aca="false">IF(ISERROR(R32*J32),0,R32*J32)</f>
        <v>0</v>
      </c>
      <c r="V32" s="217" t="n">
        <v>0</v>
      </c>
      <c r="W32" s="218"/>
      <c r="Y32" s="219" t="str">
        <f aca="false">IF(A32="new.cod","NEWCOD",IF(AND((Z32=""),ISTEXT(A32)),A32,IF(Z32="","",INDEX('[1]liste reference'!$A$7:$A$892,Z32))))</f>
        <v/>
      </c>
      <c r="Z32" s="10" t="str">
        <f aca="false">IF(ISERROR(MATCH(A32,'[1]liste reference'!$A$7:$A$892,0)),IF(ISERROR(MATCH(A32,'[1]liste reference'!$B$7:$B$892,0)),"",(MATCH(A32,'[1]liste reference'!$B$7:$B$892,0))),(MATCH(A32,'[1]liste reference'!$A$7:$A$892,0)))</f>
        <v/>
      </c>
      <c r="AA32" s="220"/>
      <c r="AB32" s="221"/>
      <c r="AC32" s="221"/>
      <c r="BC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/>
      </c>
      <c r="H33" s="209" t="str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x</v>
      </c>
      <c r="I33" s="228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1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/>
      </c>
      <c r="L33" s="229"/>
      <c r="M33" s="229"/>
      <c r="N33" s="229"/>
      <c r="O33" s="214" t="str">
        <f aca="false">IF(AA33="Cf.","Cf.","")</f>
        <v/>
      </c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30" t="n">
        <f aca="false">IF(ISERROR(R33*J33),0,R33*J33)</f>
        <v>0</v>
      </c>
      <c r="V33" s="217" t="n">
        <v>0</v>
      </c>
      <c r="W33" s="218"/>
      <c r="Y33" s="219" t="str">
        <f aca="false">IF(A33="new.cod","NEWCOD",IF(AND((Z33=""),ISTEXT(A33)),A33,IF(Z33="","",INDEX('[1]liste reference'!$A$7:$A$892,Z33))))</f>
        <v/>
      </c>
      <c r="Z33" s="10" t="str">
        <f aca="false">IF(ISERROR(MATCH(A33,'[1]liste reference'!$A$7:$A$892,0)),IF(ISERROR(MATCH(A33,'[1]liste reference'!$B$7:$B$892,0)),"",(MATCH(A33,'[1]liste reference'!$B$7:$B$892,0))),(MATCH(A33,'[1]liste reference'!$A$7:$A$892,0)))</f>
        <v/>
      </c>
      <c r="AA33" s="220"/>
      <c r="AB33" s="221"/>
      <c r="AC33" s="221"/>
      <c r="BC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/>
      </c>
      <c r="E34" s="225" t="n">
        <f aca="false">IF(D34="",0,VLOOKUP(D34,D$22:D33,1,0))</f>
        <v>0</v>
      </c>
      <c r="F34" s="232" t="n">
        <f aca="false">($B34*$B$7+$C34*$C$7)/100</f>
        <v>0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/>
      </c>
      <c r="H34" s="209" t="str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x</v>
      </c>
      <c r="I34" s="228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1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/>
      </c>
      <c r="L34" s="229"/>
      <c r="M34" s="229"/>
      <c r="N34" s="229"/>
      <c r="O34" s="214" t="str">
        <f aca="false">IF(AA34="Cf.","Cf.","")</f>
        <v/>
      </c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30" t="n">
        <f aca="false">IF(ISERROR(R34*J34),0,R34*J34)</f>
        <v>0</v>
      </c>
      <c r="V34" s="217" t="n">
        <v>0</v>
      </c>
      <c r="W34" s="218"/>
      <c r="Y34" s="219" t="str">
        <f aca="false">IF(A34="new.cod","NEWCOD",IF(AND((Z34=""),ISTEXT(A34)),A34,IF(Z34="","",INDEX('[1]liste reference'!$A$7:$A$892,Z34))))</f>
        <v/>
      </c>
      <c r="Z34" s="10" t="str">
        <f aca="false">IF(ISERROR(MATCH(A34,'[1]liste reference'!$A$7:$A$892,0)),IF(ISERROR(MATCH(A34,'[1]liste reference'!$B$7:$B$892,0)),"",(MATCH(A34,'[1]liste reference'!$B$7:$B$892,0))),(MATCH(A34,'[1]liste reference'!$A$7:$A$892,0)))</f>
        <v/>
      </c>
      <c r="AA34" s="220"/>
      <c r="AB34" s="221"/>
      <c r="AC34" s="221"/>
      <c r="BC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/>
      </c>
      <c r="E35" s="225" t="n">
        <f aca="false">IF(D35="",0,VLOOKUP(D35,D$22:D34,1,0))</f>
        <v>0</v>
      </c>
      <c r="F35" s="232" t="n">
        <f aca="false">($B35*$B$7+$C35*$C$7)/100</f>
        <v>0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/>
      </c>
      <c r="H35" s="209" t="str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x</v>
      </c>
      <c r="I35" s="228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1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/>
      </c>
      <c r="L35" s="229"/>
      <c r="M35" s="229"/>
      <c r="N35" s="229"/>
      <c r="O35" s="214" t="str">
        <f aca="false">IF(AA35="Cf.","Cf.","")</f>
        <v/>
      </c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30" t="n">
        <f aca="false">IF(ISERROR(R35*J35),0,R35*J35)</f>
        <v>0</v>
      </c>
      <c r="V35" s="217" t="n">
        <v>0</v>
      </c>
      <c r="W35" s="218"/>
      <c r="Y35" s="219" t="str">
        <f aca="false">IF(A35="new.cod","NEWCOD",IF(AND((Z35=""),ISTEXT(A35)),A35,IF(Z35="","",INDEX('[1]liste reference'!$A$7:$A$892,Z35))))</f>
        <v/>
      </c>
      <c r="Z35" s="10" t="str">
        <f aca="false">IF(ISERROR(MATCH(A35,'[1]liste reference'!$A$7:$A$892,0)),IF(ISERROR(MATCH(A35,'[1]liste reference'!$B$7:$B$892,0)),"",(MATCH(A35,'[1]liste reference'!$B$7:$B$892,0))),(MATCH(A35,'[1]liste reference'!$A$7:$A$892,0)))</f>
        <v/>
      </c>
      <c r="AA35" s="220"/>
      <c r="AB35" s="221"/>
      <c r="AC35" s="221"/>
      <c r="BC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5" t="n">
        <f aca="false">IF(D36="",0,VLOOKUP(D36,D$22:D35,1,0))</f>
        <v>0</v>
      </c>
      <c r="F36" s="232" t="n">
        <f aca="false">($B36*$B$7+$C36*$C$7)/100</f>
        <v>0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/>
      </c>
      <c r="H36" s="209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8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1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/>
      </c>
      <c r="L36" s="229"/>
      <c r="M36" s="229"/>
      <c r="N36" s="229"/>
      <c r="O36" s="214" t="str">
        <f aca="false">IF(AA36="Cf.","Cf.","")</f>
        <v/>
      </c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30" t="n">
        <f aca="false">IF(ISERROR(R36*J36),0,R36*J36)</f>
        <v>0</v>
      </c>
      <c r="V36" s="217" t="n">
        <v>0</v>
      </c>
      <c r="W36" s="218"/>
      <c r="Y36" s="219" t="str">
        <f aca="false">IF(A36="new.cod","NEWCOD",IF(AND((Z36=""),ISTEXT(A36)),A36,IF(Z36="","",INDEX('[1]liste reference'!$A$7:$A$892,Z36))))</f>
        <v/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20"/>
      <c r="AB36" s="221"/>
      <c r="AC36" s="221"/>
      <c r="BC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5" t="n">
        <f aca="false">IF(D37="",0,VLOOKUP(D37,D$22:D36,1,0))</f>
        <v>0</v>
      </c>
      <c r="F37" s="232" t="n">
        <f aca="false">($B37*$B$7+$C37*$C$7)/100</f>
        <v>0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/>
      </c>
      <c r="H37" s="209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8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1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/>
      </c>
      <c r="L37" s="229"/>
      <c r="M37" s="229"/>
      <c r="N37" s="229"/>
      <c r="O37" s="214" t="str">
        <f aca="false">IF(AA37="Cf.","Cf.","")</f>
        <v/>
      </c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30" t="n">
        <f aca="false">IF(ISERROR(R37*J37),0,R37*J37)</f>
        <v>0</v>
      </c>
      <c r="V37" s="217" t="n">
        <v>0</v>
      </c>
      <c r="W37" s="218"/>
      <c r="Y37" s="219" t="str">
        <f aca="false">IF(A37="new.cod","NEWCOD",IF(AND((Z37=""),ISTEXT(A37)),A37,IF(Z37="","",INDEX('[1]liste reference'!$A$7:$A$892,Z37))))</f>
        <v/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20"/>
      <c r="AB37" s="221"/>
      <c r="AC37" s="221"/>
      <c r="BC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5" t="n">
        <f aca="false">IF(D38="",0,VLOOKUP(D38,D$22:D37,1,0))</f>
        <v>0</v>
      </c>
      <c r="F38" s="232" t="n">
        <f aca="false">($B38*$B$7+$C38*$C$7)/100</f>
        <v>0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9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8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1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9"/>
      <c r="M38" s="229"/>
      <c r="N38" s="229"/>
      <c r="O38" s="214" t="str">
        <f aca="false">IF(AA38="Cf.","Cf.","")</f>
        <v/>
      </c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30" t="n">
        <f aca="false">IF(ISERROR(R38*J38),0,R38*J38)</f>
        <v>0</v>
      </c>
      <c r="V38" s="217" t="n">
        <v>0</v>
      </c>
      <c r="W38" s="218"/>
      <c r="Y38" s="219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20"/>
      <c r="AB38" s="221"/>
      <c r="AC38" s="221"/>
      <c r="BC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5" t="n">
        <f aca="false">IF(D39="",0,VLOOKUP(D39,D$22:D38,1,0))</f>
        <v>0</v>
      </c>
      <c r="F39" s="232" t="n">
        <f aca="false">($B39*$B$7+$C39*$C$7)/100</f>
        <v>0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9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8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1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9"/>
      <c r="M39" s="229"/>
      <c r="N39" s="229"/>
      <c r="O39" s="214" t="str">
        <f aca="false">IF(AA39="Cf.","Cf.","")</f>
        <v/>
      </c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30" t="n">
        <f aca="false">IF(ISERROR(R39*J39),0,R39*J39)</f>
        <v>0</v>
      </c>
      <c r="V39" s="217" t="n">
        <v>0</v>
      </c>
      <c r="W39" s="218"/>
      <c r="Y39" s="219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20"/>
      <c r="AB39" s="221"/>
      <c r="AC39" s="221"/>
      <c r="BC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5" t="n">
        <f aca="false">IF(D40="",0,VLOOKUP(D40,D$22:D39,1,0))</f>
        <v>0</v>
      </c>
      <c r="F40" s="232" t="n">
        <f aca="false">($B40*$B$7+$C40*$C$7)/100</f>
        <v>0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9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8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1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9"/>
      <c r="M40" s="229"/>
      <c r="N40" s="229"/>
      <c r="O40" s="214" t="str">
        <f aca="false">IF(AA40="Cf.","Cf.","")</f>
        <v/>
      </c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30" t="n">
        <f aca="false">IF(ISERROR(R40*J40),0,R40*J40)</f>
        <v>0</v>
      </c>
      <c r="V40" s="217" t="n">
        <v>0</v>
      </c>
      <c r="W40" s="218"/>
      <c r="Y40" s="219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20"/>
      <c r="AB40" s="221"/>
      <c r="AC40" s="221"/>
      <c r="BC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5" t="n">
        <f aca="false">IF(D41="",0,VLOOKUP(D41,D$22:D40,1,0))</f>
        <v>0</v>
      </c>
      <c r="F41" s="232" t="n">
        <f aca="false">($B41*$B$7+$C41*$C$7)/100</f>
        <v>0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9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8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9"/>
      <c r="M41" s="229"/>
      <c r="N41" s="229"/>
      <c r="O41" s="214" t="str">
        <f aca="false">IF(AA41="Cf.","Cf.","")</f>
        <v/>
      </c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30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20"/>
      <c r="AB41" s="221"/>
      <c r="AC41" s="221"/>
      <c r="BC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5" t="n">
        <f aca="false">IF(D42="",0,VLOOKUP(D42,D$22:D41,1,0))</f>
        <v>0</v>
      </c>
      <c r="F42" s="232" t="n">
        <f aca="false">($B42*$B$7+$C42*$C$7)/100</f>
        <v>0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9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8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1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9"/>
      <c r="M42" s="229"/>
      <c r="N42" s="229"/>
      <c r="O42" s="214" t="str">
        <f aca="false">IF(AA42="Cf.","Cf.","")</f>
        <v/>
      </c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30" t="n">
        <f aca="false">IF(ISERROR(R42*J42),0,R42*J42)</f>
        <v>0</v>
      </c>
      <c r="V42" s="217" t="n">
        <v>0</v>
      </c>
      <c r="W42" s="218"/>
      <c r="Y42" s="219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20"/>
      <c r="AB42" s="221"/>
      <c r="AC42" s="221"/>
      <c r="BC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5" t="n">
        <f aca="false">IF(D43="",0,VLOOKUP(D43,D$22:D42,1,0))</f>
        <v>0</v>
      </c>
      <c r="F43" s="232" t="n">
        <f aca="false">($B43*$B$7+$C43*$C$7)/100</f>
        <v>0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9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8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9"/>
      <c r="M43" s="229"/>
      <c r="N43" s="229"/>
      <c r="O43" s="214" t="str">
        <f aca="false">IF(AA43="Cf.","Cf.","")</f>
        <v/>
      </c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30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20"/>
      <c r="AB43" s="221"/>
      <c r="AC43" s="221"/>
      <c r="BC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5" t="n">
        <f aca="false">IF(D44="",0,VLOOKUP(D44,D$22:D43,1,0))</f>
        <v>0</v>
      </c>
      <c r="F44" s="232" t="n">
        <f aca="false">($B44*$B$7+$C44*$C$7)/100</f>
        <v>0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9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8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1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9"/>
      <c r="M44" s="229"/>
      <c r="N44" s="229"/>
      <c r="O44" s="214" t="str">
        <f aca="false">IF(AA44="Cf.","Cf.","")</f>
        <v/>
      </c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30" t="n">
        <f aca="false">IF(ISERROR(R44*J44),0,R44*J44)</f>
        <v>0</v>
      </c>
      <c r="V44" s="217" t="n">
        <v>0</v>
      </c>
      <c r="W44" s="218"/>
      <c r="Y44" s="219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20"/>
      <c r="AB44" s="221"/>
      <c r="AC44" s="221"/>
      <c r="BC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5" t="n">
        <f aca="false">IF(D45="",0,VLOOKUP(D45,D$22:D44,1,0))</f>
        <v>0</v>
      </c>
      <c r="F45" s="232" t="n">
        <f aca="false">($B45*$B$7+$C45*$C$7)/100</f>
        <v>0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9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8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9"/>
      <c r="M45" s="229"/>
      <c r="N45" s="229"/>
      <c r="O45" s="214" t="str">
        <f aca="false">IF(AA45="Cf.","Cf.","")</f>
        <v/>
      </c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30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20"/>
      <c r="AB45" s="221"/>
      <c r="AC45" s="221"/>
      <c r="BC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5" t="n">
        <f aca="false">IF(D46="",0,VLOOKUP(D46,D$22:D39,1,0))</f>
        <v>0</v>
      </c>
      <c r="F46" s="232" t="n">
        <f aca="false">($B46*$B$7+$C46*$C$7)/100</f>
        <v>0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9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8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9"/>
      <c r="M46" s="229"/>
      <c r="N46" s="229"/>
      <c r="O46" s="214" t="str">
        <f aca="false">IF(AA46="Cf.","Cf.","")</f>
        <v/>
      </c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30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20"/>
      <c r="AB46" s="221"/>
      <c r="AC46" s="221"/>
      <c r="BC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5" t="n">
        <f aca="false">IF(D47="",0,VLOOKUP(D47,D$22:D39,1,0))</f>
        <v>0</v>
      </c>
      <c r="F47" s="232" t="n">
        <f aca="false">($B47*$B$7+$C47*$C$7)/100</f>
        <v>0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9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8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9"/>
      <c r="M47" s="229"/>
      <c r="N47" s="229"/>
      <c r="O47" s="214" t="str">
        <f aca="false">IF(AA47="Cf.","Cf.","")</f>
        <v/>
      </c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30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20"/>
      <c r="AB47" s="221"/>
      <c r="AC47" s="221"/>
      <c r="BC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5" t="n">
        <f aca="false">IF(D48="",0,VLOOKUP(D48,D$22:D40,1,0))</f>
        <v>0</v>
      </c>
      <c r="F48" s="232" t="n">
        <f aca="false">($B48*$B$7+$C48*$C$7)/100</f>
        <v>0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9"/>
      <c r="M48" s="229"/>
      <c r="N48" s="229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/>
      <c r="AC48" s="221"/>
      <c r="BC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/>
      <c r="AC49" s="221"/>
      <c r="BC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/>
      <c r="AC50" s="221"/>
      <c r="BC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/>
      <c r="AC51" s="221"/>
      <c r="BC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5" t="n">
        <f aca="false">IF(D52="",0,VLOOKUP(D52,D$22:D51,1,0))</f>
        <v>0</v>
      </c>
      <c r="F52" s="232" t="n">
        <f aca="false">($B52*$B$7+$C52*$C$7)/100</f>
        <v>0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8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9"/>
      <c r="M52" s="229"/>
      <c r="N52" s="229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30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9"/>
      <c r="M53" s="229"/>
      <c r="N53" s="229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86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BOISSE</v>
      </c>
      <c r="B84" s="253" t="str">
        <f aca="false">C3</f>
        <v>A SAINT VINCENT LA COMANDERIE</v>
      </c>
      <c r="C84" s="254" t="n">
        <f aca="false">A4</f>
        <v>41078</v>
      </c>
      <c r="D84" s="255" t="n">
        <f aca="false">IF(ISERROR(SUM($T$23:$T$82)/SUM($U$23:$U$82)),"",SUM($T$23:$T$82)/SUM($U$23:$U$82))</f>
        <v>14.25</v>
      </c>
      <c r="E84" s="256" t="n">
        <f aca="false">N13</f>
        <v>7</v>
      </c>
      <c r="F84" s="253" t="n">
        <f aca="false">N14</f>
        <v>3</v>
      </c>
      <c r="G84" s="253" t="n">
        <f aca="false">N15</f>
        <v>1</v>
      </c>
      <c r="H84" s="253" t="n">
        <f aca="false">N16</f>
        <v>1</v>
      </c>
      <c r="I84" s="253" t="n">
        <f aca="false">N17</f>
        <v>1</v>
      </c>
      <c r="J84" s="257" t="n">
        <f aca="false">N8</f>
        <v>14</v>
      </c>
      <c r="K84" s="255" t="n">
        <f aca="false">N9</f>
        <v>3.46410161513775</v>
      </c>
      <c r="L84" s="256" t="n">
        <f aca="false">N10</f>
        <v>12</v>
      </c>
      <c r="M84" s="256" t="n">
        <f aca="false">N11</f>
        <v>18</v>
      </c>
      <c r="N84" s="255" t="n">
        <f aca="false">O8</f>
        <v>2</v>
      </c>
      <c r="O84" s="255" t="n">
        <f aca="false">O9</f>
        <v>1</v>
      </c>
      <c r="P84" s="256" t="n">
        <f aca="false">O10</f>
        <v>1</v>
      </c>
      <c r="Q84" s="256" t="n">
        <f aca="false">O11</f>
        <v>3</v>
      </c>
      <c r="R84" s="256" t="n">
        <f aca="false">F21</f>
        <v>0.4005</v>
      </c>
      <c r="S84" s="256" t="n">
        <f aca="false">K11</f>
        <v>0</v>
      </c>
      <c r="T84" s="256" t="n">
        <f aca="false">K12</f>
        <v>0</v>
      </c>
      <c r="U84" s="256" t="n">
        <f aca="false">K13</f>
        <v>6</v>
      </c>
      <c r="V84" s="258" t="n">
        <f aca="false">K14</f>
        <v>0</v>
      </c>
      <c r="W84" s="259" t="n">
        <f aca="false">K15</f>
        <v>0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87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7" t="n">
        <f aca="false">VLOOKUP((S87),($S$23:$U$82),2,0)</f>
        <v>48</v>
      </c>
      <c r="T88" s="10"/>
      <c r="U88" s="10"/>
      <c r="V88" s="10"/>
    </row>
    <row r="89" customFormat="false" ht="12.75" hidden="false" customHeight="false" outlineLevel="0" collapsed="false">
      <c r="Q89" s="10" t="s">
        <v>90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2" t="n">
        <f aca="false">IF(ISERROR(SUM($T$23:$T$82)/SUM($U$23:$U$82)),"",(SUM($T$23:$T$82)-S88)/(SUM($U$23:$U$82)-S89))</f>
        <v>16.5</v>
      </c>
      <c r="T90" s="10"/>
    </row>
    <row r="91" customFormat="false" ht="12.75" hidden="false" customHeight="false" outlineLevel="0" collapsed="false">
      <c r="Q91" s="216" t="s">
        <v>92</v>
      </c>
      <c r="R91" s="216"/>
      <c r="S91" s="216" t="str">
        <f aca="false">INDEX('[1]liste reference'!$A$7:$A$892,$T$91)</f>
        <v>FISCRA</v>
      </c>
      <c r="T91" s="10" t="n">
        <f aca="false">IF(ISERROR(MATCH($S$93,'[1]liste reference'!$A$7:$A$892,0)),MATCH($S$93,'[1]liste reference'!$B$7:$B$892,0),(MATCH($S$93,'[1]liste reference'!$A$7:$A$892,0)))</f>
        <v>291</v>
      </c>
      <c r="U91" s="251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94</v>
      </c>
      <c r="R93" s="10"/>
      <c r="S93" s="216" t="str">
        <f aca="false">INDEX($A$23:$A$82,$S$92)</f>
        <v>FISCRA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2014-09-02T11:16:39Z</dcterms:created>
  <dc:creator>Laurent Bourgoin</dc:creator>
  <dc:description/>
  <dc:language>fr-FR</dc:language>
  <cp:lastModifiedBy>IMBERT Loïc</cp:lastModifiedBy>
  <dcterms:modified xsi:type="dcterms:W3CDTF">2014-10-14T13:25:21Z</dcterms:modified>
  <cp:revision>0</cp:revision>
  <dc:subject/>
  <dc:title/>
</cp:coreProperties>
</file>