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<sst xmlns="http://schemas.openxmlformats.org/spreadsheetml/2006/main" count="219" uniqueCount="92">
  <si>
    <t>Relevés floristiques aquatiques - IBMR</t>
  </si>
  <si>
    <t xml:space="preserve">Formulaire modèle GIS Macrophytes v 3.1.1 - janvier 2013  </t>
  </si>
  <si>
    <t>SAGE</t>
  </si>
  <si>
    <t>L.BOURGOIN L.ISEBE</t>
  </si>
  <si>
    <t>conforme AFNOR T90-395 oct. 2003</t>
  </si>
  <si>
    <t>Boisse</t>
  </si>
  <si>
    <t>Boisse à Saint Vincent la Commanderie</t>
  </si>
  <si>
    <t>06106665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</si>
  <si>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</si>
  <si>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</si>
  <si>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</si>
  <si>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</si>
  <si>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</si>
  <si>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</si>
  <si>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</si>
  <si>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</si>
  <si>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</si>
  <si>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</si>
  <si>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</si>
  <si>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</si>
  <si>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</si>
  <si>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</si>
  <si>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</si>
  <si>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</si>
  <si>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</si>
  <si>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</si>
  <si>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</si>
  <si>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</si>
  <si>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</si>
  <si>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</si>
  <si>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</si>
  <si>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</si>
  <si>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</si>
  <si>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</si>
  <si>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</si>
  <si>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</si>
  <si>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</si>
  <si>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</si>
  <si>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</si>
  <si>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</si>
  <si>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</si>
  <si>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</si>
  <si>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</si>
  <si>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</si>
  <si>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</si>
  <si>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</si>
  <si>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</si>
  <si>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</si>
  <si>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</si>
  <si>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</si>
  <si>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</si>
  <si>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</si>
  <si>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</si>
  <si>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</si>
  <si>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</si>
  <si>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</si>
  <si>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</si>
  <si>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</si>
  <si>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</si>
  <si>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</si>
  <si>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</si>
  <si>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</si>
  <si>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</si>
  <si>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</si>
  <si>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</si>
  <si>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</si>
  <si>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</si>
  <si>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</si>
  <si>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</si>
  <si>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</si>
  <si>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</si>
  <si>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</si>
  <si>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</si>
  <si>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</si>
  <si>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</si>
  <si>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</si>
  <si>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</si>
  <si>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</si>
  <si>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</si>
  <si>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PELEND</t>
  </si>
  <si>
    <t>BLIACU</t>
  </si>
  <si>
    <t>CRAFIL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</si>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</sst>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2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2" fontId="0" fillId="4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3" borderId="54" xfId="0" applyNumberFormat="1" applyFont="1" applyFill="1" applyBorder="1" applyAlignment="1" applyProtection="1">
      <alignment horizontal="center"/>
      <protection locked="0"/>
    </xf>
    <xf numFmtId="2" fontId="0" fillId="43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3" borderId="65" xfId="0" applyNumberFormat="1" applyFont="1" applyFill="1" applyBorder="1" applyAlignment="1" applyProtection="1">
      <alignment horizontal="center"/>
      <protection locked="0"/>
    </xf>
    <xf numFmtId="2" fontId="0" fillId="43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IVI_09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5" sqref="B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13.636363636363637</v>
      </c>
      <c r="M5" s="52"/>
      <c r="N5" s="53" t="s">
        <v>16</v>
      </c>
      <c r="O5" s="54">
        <v>15.6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98</v>
      </c>
      <c r="C7" s="66">
        <v>2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14</v>
      </c>
      <c r="O8" s="84">
        <f>IF(ISERROR(AVERAGE(J23:J82)),"      -",AVERAGE(J23:J82))</f>
        <v>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2.01</v>
      </c>
      <c r="C9" s="87">
        <v>0.07</v>
      </c>
      <c r="D9" s="88"/>
      <c r="E9" s="88"/>
      <c r="F9" s="89">
        <f aca="true" t="shared" si="0" ref="F9:F15">($B9*$B$7+$C9*$C$7)/100</f>
        <v>1.9711999999999998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2.8284271247461903</v>
      </c>
      <c r="O9" s="84">
        <f>IF(ISERROR(STDEVP(J23:J82)),"      -",STDEVP(J23:J82))</f>
        <v>0.816496580927726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12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/>
      <c r="D12" s="111"/>
      <c r="E12" s="111"/>
      <c r="F12" s="112">
        <f t="shared" si="0"/>
        <v>0</v>
      </c>
      <c r="G12" s="121"/>
      <c r="H12" s="67"/>
      <c r="I12" s="122" t="s">
        <v>39</v>
      </c>
      <c r="J12" s="123"/>
      <c r="K12" s="116">
        <f>COUNTIF($G$23:$G$82,"=ALG")</f>
        <v>0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2.01</v>
      </c>
      <c r="C13" s="120">
        <v>0.07</v>
      </c>
      <c r="D13" s="111"/>
      <c r="E13" s="111"/>
      <c r="F13" s="112">
        <f t="shared" si="0"/>
        <v>1.9711999999999998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5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 t="shared" si="0"/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1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1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2.01</v>
      </c>
      <c r="C17" s="120">
        <v>0.07</v>
      </c>
      <c r="D17" s="111"/>
      <c r="E17" s="111"/>
      <c r="F17" s="147"/>
      <c r="G17" s="112">
        <f>($B17*$B$7+$C17*$C$7)/100</f>
        <v>1.9711999999999998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1.9711999999999998</v>
      </c>
      <c r="G19" s="161">
        <f>SUM(G16:G18)</f>
        <v>1.9711999999999998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2.01</v>
      </c>
      <c r="C20" s="171">
        <f>SUM(C23:C82)</f>
        <v>0.07</v>
      </c>
      <c r="D20" s="172"/>
      <c r="E20" s="173" t="s">
        <v>54</v>
      </c>
      <c r="F20" s="174">
        <f>($B20*$B$7+$C20*$C$7)/100</f>
        <v>1.9711999999999998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1.9698</v>
      </c>
      <c r="C21" s="184">
        <f>C20*C7/100</f>
        <v>0.0014000000000000002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1.9712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Pellia endiviifolia</v>
      </c>
      <c r="E23" s="213" t="e">
        <f>IF(D23="",,VLOOKUP(D23,D$22:D22,1,0))</f>
        <v>#N/A</v>
      </c>
      <c r="F23" s="214">
        <f aca="true" t="shared" si="1" ref="F23:F82">($B23*$B$7+$C23*$C$7)/100</f>
        <v>0.01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BRh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4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Pellia endiviifolia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1197</v>
      </c>
      <c r="Q23" s="221">
        <f aca="true" t="shared" si="2" ref="Q23:Q82">IF(ISTEXT(H23),"",(B23*$B$7/100)+(C23*$C$7/100))</f>
        <v>0.01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0</v>
      </c>
      <c r="T23" s="222">
        <f aca="true" t="shared" si="5" ref="T23:T82">IF(ISERROR(R23*I23*J23),0,R23*I23*J23)</f>
        <v>0</v>
      </c>
      <c r="U23" s="222">
        <f aca="true" t="shared" si="6" ref="U23:U82">IF(ISERROR(R23*J23),0,R23*J23)</f>
        <v>0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PELEND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120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80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Blindia acuta</v>
      </c>
      <c r="E24" s="231" t="e">
        <f>IF(D24="",,VLOOKUP(D24,D$22:D23,1,0))</f>
        <v>#N/A</v>
      </c>
      <c r="F24" s="232">
        <f t="shared" si="1"/>
        <v>0.0002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BRm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5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Blindia acuta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1271</v>
      </c>
      <c r="Q24" s="221">
        <f t="shared" si="2"/>
        <v>0.0002</v>
      </c>
      <c r="R24" s="222">
        <f t="shared" si="3"/>
        <v>1</v>
      </c>
      <c r="S24" s="222">
        <f t="shared" si="4"/>
        <v>0</v>
      </c>
      <c r="T24" s="222">
        <f t="shared" si="5"/>
        <v>0</v>
      </c>
      <c r="U24" s="234">
        <f t="shared" si="6"/>
        <v>0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BLIACU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153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81</v>
      </c>
      <c r="B25" s="229">
        <v>0</v>
      </c>
      <c r="C25" s="230">
        <v>0.05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Cratoneuron filicinum</v>
      </c>
      <c r="E25" s="231" t="e">
        <f>IF(D25="",,VLOOKUP(D25,D$22:D24,1,0))</f>
        <v>#N/A</v>
      </c>
      <c r="F25" s="232">
        <f t="shared" si="1"/>
        <v>0.001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18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3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Cratoneuron filicinum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1233</v>
      </c>
      <c r="Q25" s="221">
        <f t="shared" si="2"/>
        <v>0.001</v>
      </c>
      <c r="R25" s="222">
        <f t="shared" si="3"/>
        <v>1</v>
      </c>
      <c r="S25" s="222">
        <f t="shared" si="4"/>
        <v>18</v>
      </c>
      <c r="T25" s="222">
        <f t="shared" si="5"/>
        <v>54</v>
      </c>
      <c r="U25" s="234">
        <f t="shared" si="6"/>
        <v>3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CRAFIL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178</v>
      </c>
      <c r="AA25" s="226"/>
      <c r="AB25" s="227"/>
      <c r="AC25" s="227"/>
      <c r="BB25" s="8">
        <f t="shared" si="8"/>
        <v>1</v>
      </c>
    </row>
    <row r="26" spans="1:54" ht="12.75">
      <c r="A26" s="228" t="s">
        <v>16</v>
      </c>
      <c r="B26" s="229">
        <v>1.5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Fissidens crassipes</v>
      </c>
      <c r="E26" s="231" t="e">
        <f>IF(D26="",,VLOOKUP(D26,D$22:D25,1,0))</f>
        <v>#N/A</v>
      </c>
      <c r="F26" s="232">
        <f t="shared" si="1"/>
        <v>1.47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Fissidens crassipes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21">
        <f t="shared" si="2"/>
        <v>1.47</v>
      </c>
      <c r="R26" s="222">
        <f t="shared" si="3"/>
        <v>3</v>
      </c>
      <c r="S26" s="222">
        <f t="shared" si="4"/>
        <v>36</v>
      </c>
      <c r="T26" s="222">
        <f t="shared" si="5"/>
        <v>72</v>
      </c>
      <c r="U26" s="234">
        <f t="shared" si="6"/>
        <v>6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FISCRA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197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29">
        <v>0.5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31" t="e">
        <f>IF(D27="",,VLOOKUP(D27,D$22:D26,1,0))</f>
        <v>#N/A</v>
      </c>
      <c r="F27" s="232">
        <f t="shared" si="1"/>
        <v>0.49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21">
        <f t="shared" si="2"/>
        <v>0.49</v>
      </c>
      <c r="R27" s="222">
        <f t="shared" si="3"/>
        <v>2</v>
      </c>
      <c r="S27" s="222">
        <f t="shared" si="4"/>
        <v>24</v>
      </c>
      <c r="T27" s="222">
        <f t="shared" si="5"/>
        <v>24</v>
      </c>
      <c r="U27" s="234">
        <f t="shared" si="6"/>
        <v>2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26"/>
      <c r="AB27" s="227"/>
      <c r="AC27" s="227"/>
      <c r="BB27" s="8">
        <f t="shared" si="8"/>
        <v>1</v>
      </c>
    </row>
    <row r="28" spans="1:54" ht="12.75">
      <c r="A28" s="228" t="s">
        <v>55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1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2"/>
      </c>
      <c r="R28" s="222">
        <f t="shared" si="3"/>
      </c>
      <c r="S28" s="222">
        <f t="shared" si="4"/>
        <v>0</v>
      </c>
      <c r="T28" s="222">
        <f t="shared" si="5"/>
        <v>0</v>
      </c>
      <c r="U28" s="234">
        <f t="shared" si="6"/>
        <v>0</v>
      </c>
      <c r="V28" s="223">
        <f t="shared" si="7"/>
      </c>
      <c r="W28" s="224" t="s">
        <v>55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8"/>
      </c>
    </row>
    <row r="29" spans="1:54" ht="12.75">
      <c r="A29" s="228" t="s">
        <v>55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1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2"/>
      </c>
      <c r="R29" s="222">
        <f t="shared" si="3"/>
      </c>
      <c r="S29" s="222">
        <f t="shared" si="4"/>
        <v>0</v>
      </c>
      <c r="T29" s="222">
        <f t="shared" si="5"/>
        <v>0</v>
      </c>
      <c r="U29" s="234">
        <f t="shared" si="6"/>
        <v>0</v>
      </c>
      <c r="V29" s="223">
        <f t="shared" si="7"/>
      </c>
      <c r="W29" s="224" t="s">
        <v>55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8"/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1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2"/>
      </c>
      <c r="R30" s="222">
        <f t="shared" si="3"/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8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1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8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8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83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Boisse</v>
      </c>
      <c r="B84" s="265" t="str">
        <f>C3</f>
        <v>Boisse à Saint Vincent la Commanderie</v>
      </c>
      <c r="C84" s="266">
        <f>A4</f>
        <v>41464</v>
      </c>
      <c r="D84" s="267">
        <f>IF(ISERROR(SUM($T$23:$T$82)/SUM($U$23:$U$82)),"",SUM($T$23:$T$82)/SUM($U$23:$U$82))</f>
        <v>13.636363636363637</v>
      </c>
      <c r="E84" s="268">
        <f>N13</f>
        <v>5</v>
      </c>
      <c r="F84" s="265">
        <f>N14</f>
        <v>3</v>
      </c>
      <c r="G84" s="265">
        <f>N15</f>
        <v>1</v>
      </c>
      <c r="H84" s="265">
        <f>N16</f>
        <v>1</v>
      </c>
      <c r="I84" s="265">
        <f>N17</f>
        <v>1</v>
      </c>
      <c r="J84" s="269">
        <f>N8</f>
        <v>14</v>
      </c>
      <c r="K84" s="267">
        <f>N9</f>
        <v>2.8284271247461903</v>
      </c>
      <c r="L84" s="268">
        <f>N10</f>
        <v>12</v>
      </c>
      <c r="M84" s="268">
        <f>N11</f>
        <v>18</v>
      </c>
      <c r="N84" s="267">
        <f>O8</f>
        <v>2</v>
      </c>
      <c r="O84" s="267">
        <f>O9</f>
        <v>0.816496580927726</v>
      </c>
      <c r="P84" s="268">
        <f>O10</f>
        <v>1</v>
      </c>
      <c r="Q84" s="268">
        <f>O11</f>
        <v>3</v>
      </c>
      <c r="R84" s="268">
        <f>F21</f>
        <v>1.9712</v>
      </c>
      <c r="S84" s="268">
        <f>K11</f>
        <v>0</v>
      </c>
      <c r="T84" s="268">
        <f>K12</f>
        <v>0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84</v>
      </c>
      <c r="R86" s="8"/>
      <c r="S86" s="223"/>
      <c r="T86" s="8"/>
      <c r="U86" s="8"/>
      <c r="V86" s="8"/>
    </row>
    <row r="87" spans="16:22" ht="12.75" hidden="1">
      <c r="P87" s="8"/>
      <c r="Q87" s="8" t="s">
        <v>85</v>
      </c>
      <c r="R87" s="8"/>
      <c r="S87" s="22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23">
        <f>VLOOKUP((S87),($S$23:$U$82),2,0)</f>
        <v>72</v>
      </c>
      <c r="T88" s="8"/>
      <c r="U88" s="8"/>
      <c r="V88" s="8"/>
    </row>
    <row r="89" spans="17:20" ht="12.75" hidden="1">
      <c r="Q89" s="8" t="s">
        <v>87</v>
      </c>
      <c r="R89" s="8"/>
      <c r="S89" s="223">
        <f>VLOOKUP((S87),($S$23:$U$82),3,0)</f>
        <v>6</v>
      </c>
      <c r="T89" s="8"/>
    </row>
    <row r="90" spans="17:20" ht="12.75">
      <c r="Q90" s="8" t="s">
        <v>88</v>
      </c>
      <c r="R90" s="8"/>
      <c r="S90" s="274">
        <f>IF(ISERROR(SUM($T$23:$T$82)/SUM($U$23:$U$82)),"",(SUM($T$23:$T$82)-S88)/(SUM($U$23:$U$82)-S89))</f>
        <v>15.6</v>
      </c>
      <c r="T90" s="8"/>
    </row>
    <row r="91" spans="17:21" ht="12.75">
      <c r="Q91" s="222" t="s">
        <v>89</v>
      </c>
      <c r="R91" s="222"/>
      <c r="S91" s="22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63"/>
    </row>
    <row r="92" spans="17:20" ht="12.75">
      <c r="Q92" s="8" t="s">
        <v>90</v>
      </c>
      <c r="R92" s="8"/>
      <c r="S92" s="8">
        <f>MATCH(S87,$S$23:$S$82,0)</f>
        <v>4</v>
      </c>
      <c r="T92" s="8"/>
    </row>
    <row r="93" spans="17:20" ht="12.75">
      <c r="Q93" s="222" t="s">
        <v>91</v>
      </c>
      <c r="R93" s="8"/>
      <c r="S93" s="222" t="str">
        <f>INDEX($A$23:$A$82,$S$92)</f>
        <v>FISCRA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2014-03-06T14:34:59Z</dcterms:created>
  <dcterms:modified xsi:type="dcterms:W3CDTF">2014-03-06T14:35:06Z</dcterms:modified>
  <cp:category/>
  <cp:version/>
  <cp:contentType/>
  <cp:contentStatus/>
</cp:coreProperties>
</file>