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<sst xmlns="http://schemas.openxmlformats.org/spreadsheetml/2006/main" count="217" uniqueCount="94">
  <si>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</si>
  <si>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</si>
  <si>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</si>
  <si>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</si>
  <si>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</si>
  <si>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Dorne</t>
  </si>
  <si>
    <t>Dorne à Dornas</t>
  </si>
  <si>
    <t>06106935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</si>
  <si>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</si>
  <si>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</si>
  <si>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</si>
  <si>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</si>
  <si>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</si>
  <si>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</si>
  <si>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</si>
  <si>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</si>
  <si>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</si>
  <si>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</si>
  <si>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 xml:space="preserve">plat courant </t>
  </si>
  <si>
    <t>plat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</si>
  <si>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</si>
  <si>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</si>
  <si>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</si>
  <si>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</si>
  <si>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</si>
  <si>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</si>
  <si>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</si>
  <si>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</si>
  <si>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</si>
  <si>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</si>
  <si>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</si>
  <si>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</si>
  <si>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</si>
  <si>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</si>
  <si>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</si>
  <si>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</si>
  <si>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</si>
  <si>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</si>
  <si>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</si>
  <si>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</si>
  <si>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</si>
  <si>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</si>
  <si>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</si>
  <si>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</si>
  <si>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</si>
  <si>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</si>
  <si>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</si>
  <si>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</si>
  <si>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</si>
  <si>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</si>
  <si>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</si>
  <si>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</si>
  <si>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</si>
  <si>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</si>
  <si>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</si>
  <si>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</si>
  <si>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</si>
  <si>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</si>
  <si>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</si>
  <si>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</si>
  <si>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</si>
  <si>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</si>
  <si>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</si>
  <si>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</si>
  <si>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</si>
  <si>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</si>
  <si>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</si>
  <si>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</si>
  <si>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</si>
  <si>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</si>
  <si>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</si>
  <si>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</si>
  <si>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</si>
  <si>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</si>
  <si>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</si>
  <si>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</si>
  <si>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</si>
  <si>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</si>
  <si>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NOSSPX</t>
  </si>
  <si>
    <t>PHOSPX</t>
  </si>
  <si>
    <t>BRARIV</t>
  </si>
  <si>
    <t>FISCRA</t>
  </si>
  <si>
    <t>FONANT</t>
  </si>
  <si>
    <t>RHYRIP</t>
  </si>
  <si>
    <t>PHAARU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</si>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</sst>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ORDO_16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9">
      <selection activeCell="W37" sqref="W37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12.928571428571429</v>
      </c>
      <c r="M5" s="52"/>
      <c r="N5" s="53" t="s">
        <v>16</v>
      </c>
      <c r="O5" s="54">
        <v>12.1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85</v>
      </c>
      <c r="C7" s="66">
        <v>15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12</v>
      </c>
      <c r="O8" s="84">
        <f>IF(ISERROR(AVERAGE(J23:J82)),"      -",AVERAGE(J23:J82))</f>
        <v>1.5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0.295</v>
      </c>
      <c r="C9" s="87">
        <v>0.12</v>
      </c>
      <c r="D9" s="88"/>
      <c r="E9" s="88"/>
      <c r="F9" s="89">
        <f>($B9*$B$7+$C9*$C$7)/100</f>
        <v>0.26875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2.1213203435596424</v>
      </c>
      <c r="O9" s="84">
        <f>IF(ISERROR(STDEVP(J23:J82)),"      -",STDEVP(J23:J82))</f>
        <v>0.5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9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15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0.22</v>
      </c>
      <c r="C12" s="120">
        <v>0.05</v>
      </c>
      <c r="D12" s="111"/>
      <c r="E12" s="111"/>
      <c r="F12" s="112">
        <f>($B12*$B$7+$C12*$C$7)/100</f>
        <v>0.1945</v>
      </c>
      <c r="G12" s="121"/>
      <c r="H12" s="67"/>
      <c r="I12" s="122" t="s">
        <v>38</v>
      </c>
      <c r="J12" s="123"/>
      <c r="K12" s="116">
        <f>COUNTIF($G$23:$G$82,"=ALG")</f>
        <v>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0.08</v>
      </c>
      <c r="C13" s="120">
        <v>0.06</v>
      </c>
      <c r="D13" s="111"/>
      <c r="E13" s="111"/>
      <c r="F13" s="112">
        <f>($B13*$B$7+$C13*$C$7)/100</f>
        <v>0.077</v>
      </c>
      <c r="G13" s="121"/>
      <c r="H13" s="67"/>
      <c r="I13" s="129" t="s">
        <v>40</v>
      </c>
      <c r="J13" s="123"/>
      <c r="K13" s="116">
        <f>COUNTIF($G$23:$G$82,"=BRm")+COUNTIF($G$23:$G$82,"=BRh")</f>
        <v>4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0.01</v>
      </c>
      <c r="D15" s="111"/>
      <c r="E15" s="111"/>
      <c r="F15" s="112">
        <f>($B15*$B$7+$C15*$C$7)/100</f>
        <v>0.0015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0.3</v>
      </c>
      <c r="C17" s="120">
        <v>0.11</v>
      </c>
      <c r="D17" s="111"/>
      <c r="E17" s="111"/>
      <c r="F17" s="147"/>
      <c r="G17" s="112">
        <f>($B17*$B$7+$C17*$C$7)/100</f>
        <v>0.27149999999999996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1"/>
      <c r="E18" s="152" t="s">
        <v>53</v>
      </c>
      <c r="F18" s="147"/>
      <c r="G18" s="112">
        <f>($B18*$B$7+$C18*$C$7)/100</f>
        <v>0.0015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0.273</v>
      </c>
      <c r="G19" s="161">
        <f>SUM(G16:G18)</f>
        <v>0.27299999999999996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0.30000000000000004</v>
      </c>
      <c r="C20" s="171">
        <f>SUM(C23:C82)</f>
        <v>0.12000000000000001</v>
      </c>
      <c r="D20" s="172"/>
      <c r="E20" s="173" t="s">
        <v>53</v>
      </c>
      <c r="F20" s="174">
        <f>($B20*$B$7+$C20*$C$7)/100</f>
        <v>0.273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0.25500000000000006</v>
      </c>
      <c r="C21" s="184">
        <f>C20*C7/100</f>
        <v>0.018000000000000002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0.2730000000000001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16</v>
      </c>
      <c r="B23" s="211">
        <v>0.2</v>
      </c>
      <c r="C23" s="212">
        <v>0.05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13" t="e">
        <f>IF(D23="",,VLOOKUP(D23,D$22:D22,1,0))</f>
        <v>#N/A</v>
      </c>
      <c r="F23" s="214">
        <f aca="true" t="shared" si="0" ref="F23:F82">($B23*$B$7+$C23*$C$7)/100</f>
        <v>0.1775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21">
        <f aca="true" t="shared" si="1" ref="Q23:Q82">IF(ISTEXT(H23),"",(B23*$B$7/100)+(C23*$C$7/100))</f>
        <v>0.17750000000000002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30</v>
      </c>
      <c r="T23" s="222">
        <f aca="true" t="shared" si="4" ref="T23:T82">IF(ISERROR(R23*I23*J23),0,R23*I23*J23)</f>
        <v>60</v>
      </c>
      <c r="U23" s="222">
        <f aca="true" t="shared" si="5" ref="U23:U82">IF(ISERROR(R23*J23),0,R23*J23)</f>
        <v>4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78</v>
      </c>
      <c r="B24" s="229">
        <v>0.01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Nostoc sp.</v>
      </c>
      <c r="E24" s="231" t="e">
        <f>IF(D24="",,VLOOKUP(D24,D$22:D23,1,0))</f>
        <v>#N/A</v>
      </c>
      <c r="F24" s="232">
        <f t="shared" si="0"/>
        <v>0.0085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9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Nostoc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1105</v>
      </c>
      <c r="Q24" s="221">
        <f t="shared" si="1"/>
        <v>0.0085</v>
      </c>
      <c r="R24" s="222">
        <f t="shared" si="2"/>
        <v>1</v>
      </c>
      <c r="S24" s="222">
        <f t="shared" si="3"/>
        <v>9</v>
      </c>
      <c r="T24" s="222">
        <f t="shared" si="4"/>
        <v>9</v>
      </c>
      <c r="U24" s="234">
        <f t="shared" si="5"/>
        <v>1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NOSSPX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0.01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Phormidium sp.</v>
      </c>
      <c r="E25" s="231" t="e">
        <f>IF(D25="",,VLOOKUP(D25,D$22:D24,1,0))</f>
        <v>#N/A</v>
      </c>
      <c r="F25" s="232">
        <f t="shared" si="0"/>
        <v>0.0085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13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Phormidium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6414</v>
      </c>
      <c r="Q25" s="221">
        <f t="shared" si="1"/>
        <v>0.0085</v>
      </c>
      <c r="R25" s="222">
        <f t="shared" si="2"/>
        <v>1</v>
      </c>
      <c r="S25" s="222">
        <f t="shared" si="3"/>
        <v>13</v>
      </c>
      <c r="T25" s="222">
        <f t="shared" si="4"/>
        <v>26</v>
      </c>
      <c r="U25" s="234">
        <f t="shared" si="5"/>
        <v>2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PHOSPX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0.035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Brachythecium rivulare</v>
      </c>
      <c r="E26" s="231" t="e">
        <f>IF(D26="",,VLOOKUP(D26,D$22:D25,1,0))</f>
        <v>#N/A</v>
      </c>
      <c r="F26" s="232">
        <f t="shared" si="0"/>
        <v>0.029750000000000002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Brachythecium rivulare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1260</v>
      </c>
      <c r="Q26" s="221">
        <f t="shared" si="1"/>
        <v>0.029750000000000002</v>
      </c>
      <c r="R26" s="222">
        <f t="shared" si="2"/>
        <v>1</v>
      </c>
      <c r="S26" s="222">
        <f t="shared" si="3"/>
        <v>15</v>
      </c>
      <c r="T26" s="222">
        <f t="shared" si="4"/>
        <v>30</v>
      </c>
      <c r="U26" s="234">
        <f t="shared" si="5"/>
        <v>2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BRARIV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155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Fissidens crassipes</v>
      </c>
      <c r="E27" s="231" t="e">
        <f>IF(D27="",,VLOOKUP(D27,D$22:D26,1,0))</f>
        <v>#N/A</v>
      </c>
      <c r="F27" s="232">
        <f t="shared" si="0"/>
        <v>0.0085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Fissidens crassipes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1294</v>
      </c>
      <c r="Q27" s="221">
        <f t="shared" si="1"/>
        <v>0.0085</v>
      </c>
      <c r="R27" s="222">
        <f t="shared" si="2"/>
        <v>1</v>
      </c>
      <c r="S27" s="222">
        <f t="shared" si="3"/>
        <v>12</v>
      </c>
      <c r="T27" s="222">
        <f t="shared" si="4"/>
        <v>24</v>
      </c>
      <c r="U27" s="234">
        <f t="shared" si="5"/>
        <v>2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FISCRA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197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0"/>
        <v>0.0015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1"/>
        <v>0.0015</v>
      </c>
      <c r="R28" s="222">
        <f t="shared" si="2"/>
        <v>1</v>
      </c>
      <c r="S28" s="222">
        <f t="shared" si="3"/>
        <v>10</v>
      </c>
      <c r="T28" s="222">
        <f t="shared" si="4"/>
        <v>10</v>
      </c>
      <c r="U28" s="234">
        <f t="shared" si="5"/>
        <v>1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83</v>
      </c>
      <c r="B29" s="229">
        <v>0.035</v>
      </c>
      <c r="C29" s="230">
        <v>0.05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0"/>
        <v>0.03725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1"/>
        <v>0.037250000000000005</v>
      </c>
      <c r="R29" s="222">
        <f t="shared" si="2"/>
        <v>1</v>
      </c>
      <c r="S29" s="222">
        <f t="shared" si="3"/>
        <v>12</v>
      </c>
      <c r="T29" s="222">
        <f t="shared" si="4"/>
        <v>12</v>
      </c>
      <c r="U29" s="234">
        <f t="shared" si="5"/>
        <v>1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84</v>
      </c>
      <c r="B30" s="229">
        <v>0</v>
      </c>
      <c r="C30" s="230">
        <v>0.01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Phalaris arundinacea</v>
      </c>
      <c r="E30" s="231" t="e">
        <f>IF(D30="",,VLOOKUP(D30,D$22:D29,1,0))</f>
        <v>#N/A</v>
      </c>
      <c r="F30" s="232">
        <f t="shared" si="0"/>
        <v>0.0015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10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Phalaris arundinacea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1577</v>
      </c>
      <c r="Q30" s="221">
        <f t="shared" si="1"/>
        <v>0.0015</v>
      </c>
      <c r="R30" s="222">
        <f t="shared" si="2"/>
        <v>1</v>
      </c>
      <c r="S30" s="222">
        <f t="shared" si="3"/>
        <v>10</v>
      </c>
      <c r="T30" s="222">
        <f t="shared" si="4"/>
        <v>10</v>
      </c>
      <c r="U30" s="234">
        <f t="shared" si="5"/>
        <v>1</v>
      </c>
      <c r="V30" s="223">
        <f t="shared" si="6"/>
      </c>
      <c r="W30" s="224" t="s">
        <v>54</v>
      </c>
      <c r="Y30" s="225" t="str">
        <f>IF(A30="new.cod","NEWCOD",IF(AND((Z30=""),ISTEXT(A30)),A30,IF(Z30="","",INDEX('[1]liste reference'!$A$8:$A$904,Z30))))</f>
        <v>PHAARU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634</v>
      </c>
      <c r="AA30" s="226"/>
      <c r="AB30" s="227"/>
      <c r="AC30" s="227"/>
      <c r="BB30" s="8">
        <f t="shared" si="7"/>
        <v>1</v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Dorne</v>
      </c>
      <c r="B84" s="265" t="str">
        <f>C3</f>
        <v>Dorne à Dornas</v>
      </c>
      <c r="C84" s="266">
        <f>A4</f>
        <v>41806</v>
      </c>
      <c r="D84" s="267">
        <f>IF(ISERROR(SUM($T$23:$T$82)/SUM($U$23:$U$82)),"",SUM($T$23:$T$82)/SUM($U$23:$U$82))</f>
        <v>12.928571428571429</v>
      </c>
      <c r="E84" s="268">
        <f>N13</f>
        <v>8</v>
      </c>
      <c r="F84" s="265">
        <f>N14</f>
        <v>8</v>
      </c>
      <c r="G84" s="265">
        <f>N15</f>
        <v>4</v>
      </c>
      <c r="H84" s="265">
        <f>N16</f>
        <v>4</v>
      </c>
      <c r="I84" s="265">
        <f>N17</f>
        <v>0</v>
      </c>
      <c r="J84" s="269">
        <f>N8</f>
        <v>12</v>
      </c>
      <c r="K84" s="267">
        <f>N9</f>
        <v>2.1213203435596424</v>
      </c>
      <c r="L84" s="268">
        <f>N10</f>
        <v>9</v>
      </c>
      <c r="M84" s="268">
        <f>N11</f>
        <v>15</v>
      </c>
      <c r="N84" s="267">
        <f>O8</f>
        <v>1.5</v>
      </c>
      <c r="O84" s="267">
        <f>O9</f>
        <v>0.5</v>
      </c>
      <c r="P84" s="268">
        <f>O10</f>
        <v>1</v>
      </c>
      <c r="Q84" s="268">
        <f>O11</f>
        <v>2</v>
      </c>
      <c r="R84" s="268">
        <f>F21</f>
        <v>0.2730000000000001</v>
      </c>
      <c r="S84" s="268">
        <f>K11</f>
        <v>0</v>
      </c>
      <c r="T84" s="268">
        <f>K12</f>
        <v>3</v>
      </c>
      <c r="U84" s="268">
        <f>K13</f>
        <v>4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60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4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12.1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63"/>
    </row>
    <row r="92" spans="17:20" ht="12.75">
      <c r="Q92" s="8" t="s">
        <v>92</v>
      </c>
      <c r="R92" s="8"/>
      <c r="S92" s="8">
        <f>MATCH(S87,$S$23:$S$82,0)</f>
        <v>1</v>
      </c>
      <c r="T92" s="8"/>
    </row>
    <row r="93" spans="17:20" ht="12.75">
      <c r="Q93" s="222" t="s">
        <v>93</v>
      </c>
      <c r="R93" s="8"/>
      <c r="S93" s="222" t="str">
        <f>INDEX($A$23:$A$82,$S$92)</f>
        <v>LEASPX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2014-12-19T14:11:36Z</dcterms:created>
  <dcterms:modified xsi:type="dcterms:W3CDTF">2014-12-19T14:11:39Z</dcterms:modified>
  <cp:category/>
  <cp:version/>
  <cp:contentType/>
  <cp:contentStatus/>
</cp:coreProperties>
</file>