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<sst xmlns="http://schemas.openxmlformats.org/spreadsheetml/2006/main" count="219" uniqueCount="95">
  <si>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</si>
  <si>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</si>
  <si>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</si>
  <si>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</si>
  <si>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</si>
  <si>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EYRIEUX</t>
  </si>
  <si>
    <t>Eyrieux à Beauchastel</t>
  </si>
  <si>
    <t>06107900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</si>
  <si>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</si>
  <si>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</si>
  <si>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</si>
  <si>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</si>
  <si>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</si>
  <si>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</si>
  <si>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</si>
  <si>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</si>
  <si>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</si>
  <si>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</si>
  <si>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</si>
  <si>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</si>
  <si>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</si>
  <si>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</si>
  <si>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</si>
  <si>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</si>
  <si>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</si>
  <si>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</si>
  <si>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</si>
  <si>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</si>
  <si>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</si>
  <si>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</si>
  <si>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</si>
  <si>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</si>
  <si>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</si>
  <si>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</si>
  <si>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</si>
  <si>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</si>
  <si>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</si>
  <si>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</si>
  <si>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</si>
  <si>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</si>
  <si>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</si>
  <si>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</si>
  <si>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</si>
  <si>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</si>
  <si>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</si>
  <si>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</si>
  <si>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</si>
  <si>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</si>
  <si>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</si>
  <si>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</si>
  <si>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</si>
  <si>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</si>
  <si>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</si>
  <si>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</si>
  <si>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</si>
  <si>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</si>
  <si>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</si>
  <si>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</si>
  <si>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</si>
  <si>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</si>
  <si>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</si>
  <si>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</si>
  <si>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</si>
  <si>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</si>
  <si>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</si>
  <si>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</si>
  <si>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</si>
  <si>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</si>
  <si>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</si>
  <si>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</si>
  <si>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</si>
  <si>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</si>
  <si>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</si>
  <si>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</si>
  <si>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</si>
  <si>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</si>
  <si>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</si>
  <si>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</si>
  <si>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</si>
  <si>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HOMSPX</t>
  </si>
  <si>
    <t>OEDSPX</t>
  </si>
  <si>
    <t>PHOSPX</t>
  </si>
  <si>
    <t>SPISPX</t>
  </si>
  <si>
    <t>STISPX</t>
  </si>
  <si>
    <t>STITEN</t>
  </si>
  <si>
    <t>VAUSPX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</si>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</sst>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YBEAU_09-07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5.833333333333333</v>
      </c>
      <c r="M5" s="52"/>
      <c r="N5" s="53" t="s">
        <v>16</v>
      </c>
      <c r="O5" s="54">
        <v>5.8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60</v>
      </c>
      <c r="C7" s="66">
        <v>40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7.571428571428571</v>
      </c>
      <c r="O8" s="84">
        <f>IF(ISERROR(AVERAGE(J23:J82)),"      -",AVERAGE(J23:J82))</f>
        <v>1.7142857142857142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13.25</v>
      </c>
      <c r="C9" s="87">
        <v>50</v>
      </c>
      <c r="D9" s="88"/>
      <c r="E9" s="88"/>
      <c r="F9" s="89">
        <f aca="true" t="shared" si="0" ref="F9:F15">($B9*$B$7+$C9*$C$7)/100</f>
        <v>27.95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4.2378277069118075</v>
      </c>
      <c r="O9" s="84">
        <f>IF(ISERROR(STDEVP(J23:J82)),"      -",STDEVP(J23:J82))</f>
        <v>0.6998542122237652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1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13.25</v>
      </c>
      <c r="C12" s="120">
        <v>50</v>
      </c>
      <c r="D12" s="111"/>
      <c r="E12" s="111"/>
      <c r="F12" s="112">
        <f t="shared" si="0"/>
        <v>27.95</v>
      </c>
      <c r="G12" s="121"/>
      <c r="H12" s="67"/>
      <c r="I12" s="122" t="s">
        <v>39</v>
      </c>
      <c r="J12" s="123"/>
      <c r="K12" s="116">
        <f>COUNTIF($G$23:$G$82,"=ALG")</f>
        <v>8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/>
      <c r="D13" s="111"/>
      <c r="E13" s="111"/>
      <c r="F13" s="112">
        <f t="shared" si="0"/>
        <v>0</v>
      </c>
      <c r="G13" s="121"/>
      <c r="H13" s="67"/>
      <c r="I13" s="129" t="s">
        <v>41</v>
      </c>
      <c r="J13" s="123"/>
      <c r="K13" s="116">
        <f>COUNTIF($G$23:$G$82,"=BRm")+COUNTIF($G$23:$G$82,"=BRh")</f>
        <v>0</v>
      </c>
      <c r="L13" s="117"/>
      <c r="M13" s="130" t="s">
        <v>42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 t="shared" si="0"/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13.25</v>
      </c>
      <c r="C17" s="120">
        <v>50</v>
      </c>
      <c r="D17" s="111"/>
      <c r="E17" s="111"/>
      <c r="F17" s="147"/>
      <c r="G17" s="112">
        <f>($B17*$B$7+$C17*$C$7)/100</f>
        <v>27.95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27.95</v>
      </c>
      <c r="G19" s="161">
        <f>SUM(G16:G18)</f>
        <v>27.95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13.25</v>
      </c>
      <c r="C20" s="171">
        <f>SUM(C23:C82)</f>
        <v>50</v>
      </c>
      <c r="D20" s="172"/>
      <c r="E20" s="173" t="s">
        <v>54</v>
      </c>
      <c r="F20" s="174">
        <f>($B20*$B$7+$C20*$C$7)/100</f>
        <v>27.95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7.95</v>
      </c>
      <c r="C21" s="184">
        <f>C20*C7/100</f>
        <v>20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27.95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16</v>
      </c>
      <c r="B23" s="211">
        <v>0.1</v>
      </c>
      <c r="C23" s="212">
        <v>40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16.06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16.06</v>
      </c>
      <c r="R23" s="222">
        <f aca="true" t="shared" si="3" ref="R23:R82">IF(OR(ISTEXT(H23),Q23=0),"",IF(Q23&lt;0.1,1,IF(Q23&lt;1,2,IF(Q23&lt;10,3,IF(Q23&lt;50,4,IF(Q23&gt;=50,5,""))))))</f>
        <v>4</v>
      </c>
      <c r="S23" s="222">
        <f aca="true" t="shared" si="4" ref="S23:S82">IF(ISERROR(R23*I23),0,R23*I23)</f>
        <v>24</v>
      </c>
      <c r="T23" s="222">
        <f aca="true" t="shared" si="5" ref="T23:T82">IF(ISERROR(R23*I23*J23),0,R23*I23*J23)</f>
        <v>24</v>
      </c>
      <c r="U23" s="222">
        <f aca="true" t="shared" si="6" ref="U23:U82">IF(ISERROR(R23*J23),0,R23*J23)</f>
        <v>4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29">
        <v>0.81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Homoeothrix sp.</v>
      </c>
      <c r="E24" s="231" t="e">
        <f>IF(D24="",,VLOOKUP(D24,D$22:D23,1,0))</f>
        <v>#N/A</v>
      </c>
      <c r="F24" s="232">
        <f t="shared" si="1"/>
        <v>0.486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Homoeothrix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6395</v>
      </c>
      <c r="Q24" s="221">
        <f t="shared" si="2"/>
        <v>0.486</v>
      </c>
      <c r="R24" s="222">
        <f t="shared" si="3"/>
        <v>2</v>
      </c>
      <c r="S24" s="222">
        <f t="shared" si="4"/>
        <v>0</v>
      </c>
      <c r="T24" s="222">
        <f t="shared" si="5"/>
        <v>0</v>
      </c>
      <c r="U24" s="234">
        <f t="shared" si="6"/>
        <v>0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HOMSPX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31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29">
        <v>0</v>
      </c>
      <c r="C25" s="230">
        <v>10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 t="shared" si="1"/>
        <v>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2"/>
        <v>4</v>
      </c>
      <c r="R25" s="222">
        <f t="shared" si="3"/>
        <v>3</v>
      </c>
      <c r="S25" s="222">
        <f t="shared" si="4"/>
        <v>18</v>
      </c>
      <c r="T25" s="222">
        <f t="shared" si="5"/>
        <v>36</v>
      </c>
      <c r="U25" s="234">
        <f t="shared" si="6"/>
        <v>6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29">
        <v>0.09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1"/>
        <v>0.05399999999999999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2"/>
        <v>0.05399999999999999</v>
      </c>
      <c r="R26" s="222">
        <f t="shared" si="3"/>
        <v>1</v>
      </c>
      <c r="S26" s="222">
        <f t="shared" si="4"/>
        <v>13</v>
      </c>
      <c r="T26" s="222">
        <f t="shared" si="5"/>
        <v>26</v>
      </c>
      <c r="U26" s="234">
        <f t="shared" si="6"/>
        <v>2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29">
        <v>0.05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1"/>
        <v>0.03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2"/>
        <v>0.03</v>
      </c>
      <c r="R27" s="222">
        <f t="shared" si="3"/>
        <v>1</v>
      </c>
      <c r="S27" s="222">
        <f t="shared" si="4"/>
        <v>10</v>
      </c>
      <c r="T27" s="222">
        <f t="shared" si="5"/>
        <v>10</v>
      </c>
      <c r="U27" s="234">
        <f t="shared" si="6"/>
        <v>1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29">
        <v>0.135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sp.</v>
      </c>
      <c r="E28" s="231" t="e">
        <f>IF(D28="",,VLOOKUP(D28,D$22:D27,1,0))</f>
        <v>#N/A</v>
      </c>
      <c r="F28" s="232">
        <f t="shared" si="1"/>
        <v>0.08100000000000002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1119</v>
      </c>
      <c r="Q28" s="221">
        <f t="shared" si="2"/>
        <v>0.08100000000000002</v>
      </c>
      <c r="R28" s="222">
        <f t="shared" si="3"/>
        <v>1</v>
      </c>
      <c r="S28" s="222">
        <f t="shared" si="4"/>
        <v>13</v>
      </c>
      <c r="T28" s="222">
        <f t="shared" si="5"/>
        <v>26</v>
      </c>
      <c r="U28" s="234">
        <f t="shared" si="6"/>
        <v>2</v>
      </c>
      <c r="V28" s="223">
        <f t="shared" si="7"/>
      </c>
      <c r="W28" s="224" t="s">
        <v>55</v>
      </c>
      <c r="Y28" s="225" t="str">
        <f>IF(A28="new.cod","NEWCOD",IF(AND((Z28=""),ISTEXT(A28)),A28,IF(Z28="","",INDEX('[1]liste reference'!$A$8:$A$904,Z28))))</f>
        <v>STISPX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71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29">
        <v>0.19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Stigeoclonium tenue</v>
      </c>
      <c r="E29" s="231" t="e">
        <f>IF(D29="",,VLOOKUP(D29,D$22:D28,1,0))</f>
        <v>#N/A</v>
      </c>
      <c r="F29" s="232">
        <f t="shared" si="1"/>
        <v>0.114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Stigeoclonium tenue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5583</v>
      </c>
      <c r="Q29" s="221">
        <f t="shared" si="2"/>
        <v>0.114</v>
      </c>
      <c r="R29" s="222">
        <f t="shared" si="3"/>
        <v>2</v>
      </c>
      <c r="S29" s="222">
        <f t="shared" si="4"/>
        <v>2</v>
      </c>
      <c r="T29" s="222">
        <f t="shared" si="5"/>
        <v>6</v>
      </c>
      <c r="U29" s="234">
        <f t="shared" si="6"/>
        <v>6</v>
      </c>
      <c r="V29" s="223">
        <f t="shared" si="7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STITEN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29">
        <v>11.875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Vaucheria sp.</v>
      </c>
      <c r="E30" s="231" t="e">
        <f>IF(D30="",,VLOOKUP(D30,D$22:D29,1,0))</f>
        <v>#N/A</v>
      </c>
      <c r="F30" s="232">
        <f t="shared" si="1"/>
        <v>7.125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Vaucheria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6193</v>
      </c>
      <c r="Q30" s="221">
        <f t="shared" si="2"/>
        <v>7.125</v>
      </c>
      <c r="R30" s="222">
        <f t="shared" si="3"/>
        <v>3</v>
      </c>
      <c r="S30" s="222">
        <f t="shared" si="4"/>
        <v>12</v>
      </c>
      <c r="T30" s="222">
        <f t="shared" si="5"/>
        <v>12</v>
      </c>
      <c r="U30" s="234">
        <f t="shared" si="6"/>
        <v>3</v>
      </c>
      <c r="V30" s="223">
        <f t="shared" si="7"/>
      </c>
      <c r="W30" s="224" t="s">
        <v>55</v>
      </c>
      <c r="Y30" s="225" t="str">
        <f>IF(A30="new.cod","NEWCOD",IF(AND((Z30=""),ISTEXT(A30)),A30,IF(Z30="","",INDEX('[1]liste reference'!$A$8:$A$904,Z30))))</f>
        <v>VAUSPX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82</v>
      </c>
      <c r="AA30" s="226"/>
      <c r="AB30" s="227"/>
      <c r="AC30" s="227"/>
      <c r="BB30" s="8">
        <f t="shared" si="8"/>
        <v>1</v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1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8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8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86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EYRIEUX</v>
      </c>
      <c r="B84" s="265" t="str">
        <f>C3</f>
        <v>Eyrieux à Beauchastel</v>
      </c>
      <c r="C84" s="266">
        <f>A4</f>
        <v>41464</v>
      </c>
      <c r="D84" s="267">
        <f>IF(ISERROR(SUM($T$23:$T$82)/SUM($U$23:$U$82)),"",SUM($T$23:$T$82)/SUM($U$23:$U$82))</f>
        <v>5.833333333333333</v>
      </c>
      <c r="E84" s="268">
        <f>N13</f>
        <v>8</v>
      </c>
      <c r="F84" s="265">
        <f>N14</f>
        <v>7</v>
      </c>
      <c r="G84" s="265">
        <f>N15</f>
        <v>3</v>
      </c>
      <c r="H84" s="265">
        <f>N16</f>
        <v>3</v>
      </c>
      <c r="I84" s="265">
        <f>N17</f>
        <v>1</v>
      </c>
      <c r="J84" s="269">
        <f>N8</f>
        <v>7.571428571428571</v>
      </c>
      <c r="K84" s="267">
        <f>N9</f>
        <v>4.2378277069118075</v>
      </c>
      <c r="L84" s="268">
        <f>N10</f>
        <v>1</v>
      </c>
      <c r="M84" s="268">
        <f>N11</f>
        <v>13</v>
      </c>
      <c r="N84" s="267">
        <f>O8</f>
        <v>1.7142857142857142</v>
      </c>
      <c r="O84" s="267">
        <f>O9</f>
        <v>0.6998542122237652</v>
      </c>
      <c r="P84" s="268">
        <f>O10</f>
        <v>1</v>
      </c>
      <c r="Q84" s="268">
        <f>O11</f>
        <v>3</v>
      </c>
      <c r="R84" s="268">
        <f>F21</f>
        <v>27.95</v>
      </c>
      <c r="S84" s="268">
        <f>K11</f>
        <v>0</v>
      </c>
      <c r="T84" s="268">
        <f>K12</f>
        <v>8</v>
      </c>
      <c r="U84" s="268">
        <f>K13</f>
        <v>0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24</v>
      </c>
      <c r="T88" s="8"/>
      <c r="U88" s="8"/>
      <c r="V88" s="8"/>
    </row>
    <row r="89" spans="17:20" ht="12.75" hidden="1">
      <c r="Q89" s="8" t="s">
        <v>90</v>
      </c>
      <c r="R89" s="8"/>
      <c r="S89" s="223">
        <f>VLOOKUP((S87),($S$23:$U$82),3,0)</f>
        <v>4</v>
      </c>
      <c r="T89" s="8"/>
    </row>
    <row r="90" spans="17:20" ht="12.75">
      <c r="Q90" s="8" t="s">
        <v>91</v>
      </c>
      <c r="R90" s="8"/>
      <c r="S90" s="274">
        <f>IF(ISERROR(SUM($T$23:$T$82)/SUM($U$23:$U$82)),"",(SUM($T$23:$T$82)-S88)/(SUM($U$23:$U$82)-S89))</f>
        <v>5.8</v>
      </c>
      <c r="T90" s="8"/>
    </row>
    <row r="91" spans="17:21" ht="12.75">
      <c r="Q91" s="222" t="s">
        <v>92</v>
      </c>
      <c r="R91" s="222"/>
      <c r="S91" s="222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63"/>
    </row>
    <row r="92" spans="17:20" ht="12.75">
      <c r="Q92" s="8" t="s">
        <v>93</v>
      </c>
      <c r="R92" s="8"/>
      <c r="S92" s="8">
        <f>MATCH(S87,$S$23:$S$82,0)</f>
        <v>1</v>
      </c>
      <c r="T92" s="8"/>
    </row>
    <row r="93" spans="17:20" ht="12.75">
      <c r="Q93" s="222" t="s">
        <v>94</v>
      </c>
      <c r="R93" s="8"/>
      <c r="S93" s="222" t="str">
        <f>INDEX($A$23:$A$82,$S$92)</f>
        <v>CLASPX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2014-03-11T09:02:52Z</dcterms:created>
  <dcterms:modified xsi:type="dcterms:W3CDTF">2014-03-11T09:02:58Z</dcterms:modified>
  <cp:category/>
  <cp:version/>
  <cp:contentType/>
  <cp:contentStatus/>
</cp:coreProperties>
</file>