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Jabron à Comps sur Arbuby" sheetId="7" state="visible" r:id="rId9"/>
    <sheet name="modele" sheetId="8" state="hidden" r:id="rId10"/>
    <sheet name="liste codes réf" sheetId="9" state="hidden" r:id="rId11"/>
  </sheets>
  <definedNames>
    <definedName function="false" hidden="false" localSheetId="6" name="_xlnm.Print_Area" vbProcedure="false">'Jabron à Comps sur Arbuby'!$A$1:$O$82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'Jabron à Comps sur Arbuby'!$A$23:$J$84</definedName>
    <definedName function="false" hidden="false" localSheetId="6" name="NOM" vbProcedure="false">'Jabron à Comps sur Arbuby'!$H$1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<sst xmlns="http://schemas.openxmlformats.org/spreadsheetml/2006/main" count="7494" uniqueCount="2754">
  <si>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</si>
  <si>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</si>
  <si>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</si>
  <si>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</si>
  <si>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</si>
  <si>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</si>
  <si>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</si>
  <si>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</si>
  <si>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</si>
  <si>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</si>
  <si>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</si>
  <si>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</si>
  <si>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</si>
  <si>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</si>
  <si>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</si>
  <si>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</si>
  <si>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</si>
  <si>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</si>
  <si>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</si>
  <si>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</si>
  <si>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</si>
  <si>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</si>
  <si>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</si>
  <si>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</si>
  <si>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</si>
  <si>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</si>
  <si>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</si>
  <si>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</si>
  <si>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</si>
  <si>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</si>
  <si>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</si>
  <si>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</si>
  <si>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</si>
  <si>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</si>
  <si>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</si>
  <si>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</si>
  <si>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</si>
  <si>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</si>
  <si>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</si>
  <si>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</si>
  <si>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</si>
  <si>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</si>
  <si>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</si>
  <si>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</si>
  <si>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</si>
  <si>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</si>
  <si>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</si>
  <si>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</si>
  <si>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</si>
  <si>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</si>
  <si>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</si>
  <si>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</si>
  <si>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</si>
  <si>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</si>
  <si>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</si>
  <si>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</si>
  <si>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</si>
  <si>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</si>
  <si>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</si>
  <si>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</si>
  <si>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</si>
  <si>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</si>
  <si>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</si>
  <si>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</si>
  <si>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</si>
  <si>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</si>
  <si>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</si>
  <si>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</si>
  <si>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</si>
  <si>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</si>
  <si>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</si>
  <si>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</si>
  <si>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</si>
  <si>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</si>
  <si>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</si>
  <si>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</si>
  <si>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</si>
  <si>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</si>
  <si>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</si>
  <si>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</si>
  <si>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</si>
  <si>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</si>
  <si>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</si>
  <si>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</si>
  <si>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</si>
  <si>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</si>
  <si>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</si>
  <si>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</si>
  <si>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</si>
  <si>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</si>
  <si>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</si>
  <si>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</si>
  <si>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</si>
  <si>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</si>
  <si>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</si>
  <si>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</si>
  <si>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</si>
  <si>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</si>
  <si>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</si>
  <si>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</si>
  <si>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</si>
  <si>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</si>
  <si>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</si>
  <si>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</si>
  <si>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</si>
  <si>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</si>
  <si>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</si>
  <si>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</si>
  <si>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</si>
  <si>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</si>
  <si>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</si>
  <si>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</si>
  <si>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</si>
  <si>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</si>
  <si>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</si>
  <si>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</si>
  <si>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</si>
  <si>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</si>
  <si>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</si>
  <si>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</si>
  <si>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</si>
  <si>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</si>
  <si>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</si>
  <si>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</si>
  <si>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</si>
  <si>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</si>
  <si>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</si>
  <si>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</si>
  <si>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</si>
  <si>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</si>
  <si>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</si>
  <si>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</si>
  <si>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</si>
  <si>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</si>
  <si>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</si>
  <si>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</si>
  <si>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</si>
  <si>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</si>
  <si>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</si>
  <si>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</si>
  <si>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</si>
  <si>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</si>
  <si>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</si>
  <si>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</si>
  <si>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</si>
  <si>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</si>
  <si>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</si>
  <si>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</si>
  <si>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</si>
  <si>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</si>
  <si>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</si>
  <si>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</si>
  <si>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</si>
  <si>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</si>
  <si>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</si>
  <si>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</si>
  <si>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</si>
  <si>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</si>
  <si>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</si>
  <si>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</si>
  <si>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</si>
  <si>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</si>
  <si>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</si>
  <si>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</si>
  <si>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</si>
  <si>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</si>
  <si>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</si>
  <si>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</si>
  <si>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</si>
  <si>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</si>
  <si>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</si>
  <si>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</si>
  <si>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</si>
  <si>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</si>
  <si>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</si>
  <si>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</si>
  <si>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</si>
  <si>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</si>
  <si>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</si>
  <si>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</si>
  <si>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</si>
  <si>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</si>
  <si>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</si>
  <si>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</si>
  <si>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</si>
  <si>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</si>
  <si>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</si>
  <si>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</si>
  <si>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</si>
  <si>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</si>
  <si>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</si>
  <si>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</si>
  <si>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</si>
  <si>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</si>
  <si>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</si>
  <si>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</si>
  <si>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</si>
  <si>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</si>
  <si>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</si>
  <si>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</si>
  <si>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</si>
  <si>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</si>
  <si>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</si>
  <si>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</si>
  <si>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</si>
  <si>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</si>
  <si>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</si>
  <si>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</si>
  <si>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</si>
  <si>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</si>
  <si>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</si>
  <si>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</si>
  <si>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</si>
  <si>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</si>
  <si>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</si>
  <si>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</si>
  <si>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</si>
  <si>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</si>
  <si>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</si>
  <si>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</si>
  <si>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</si>
  <si>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</si>
  <si>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</si>
  <si>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</si>
  <si>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</si>
  <si>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</si>
  <si>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</si>
  <si>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</si>
  <si>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</si>
  <si>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</si>
  <si>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</si>
  <si>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</si>
  <si>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</si>
  <si>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</si>
  <si>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</si>
  <si>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</si>
  <si>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</si>
  <si>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</si>
  <si>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</si>
  <si>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</si>
  <si>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</si>
  <si>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</si>
  <si>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</si>
  <si>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</si>
  <si>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</si>
  <si>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</si>
  <si>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</si>
  <si>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</si>
  <si>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</si>
  <si>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</si>
  <si>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</si>
  <si>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</si>
  <si>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</si>
  <si>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</si>
  <si>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</si>
  <si>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</si>
  <si>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</si>
  <si>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</si>
  <si>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</si>
  <si>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</si>
  <si>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</si>
  <si>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</si>
  <si>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</si>
  <si>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</si>
  <si>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</si>
  <si>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</si>
  <si>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</si>
  <si>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</si>
  <si>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</si>
  <si>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</si>
  <si>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</si>
  <si>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</si>
  <si>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</si>
  <si>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</si>
  <si>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</si>
  <si>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</si>
  <si>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</si>
  <si>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</si>
  <si>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</si>
  <si>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</si>
  <si>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</si>
  <si>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</si>
  <si>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</si>
  <si>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</si>
  <si>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</si>
  <si>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</si>
  <si>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</si>
  <si>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</si>
  <si>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</si>
  <si>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</si>
  <si>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</si>
  <si>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</si>
  <si>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</si>
  <si>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</si>
  <si>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</si>
  <si>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</si>
  <si>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</si>
  <si>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</si>
  <si>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</si>
  <si>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</si>
  <si>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</si>
  <si>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</si>
  <si>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</si>
  <si>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</si>
  <si>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</si>
  <si>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</si>
  <si>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</si>
  <si>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</si>
  <si>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</si>
  <si>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</si>
  <si>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</si>
  <si>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</si>
  <si>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</si>
  <si>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</si>
  <si>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</si>
  <si>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</si>
  <si>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</si>
  <si>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</si>
  <si>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</si>
  <si>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</si>
  <si>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</si>
  <si>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</si>
  <si>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</si>
  <si>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</si>
  <si>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</si>
  <si>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</si>
  <si>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</si>
  <si>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</si>
  <si>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</si>
  <si>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</si>
  <si>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</si>
  <si>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</si>
  <si>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</si>
  <si>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</si>
  <si>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</si>
  <si>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</si>
  <si>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</si>
  <si>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</si>
  <si>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</si>
  <si>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</si>
  <si>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</si>
  <si>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</si>
  <si>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</si>
  <si>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</si>
  <si>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</si>
  <si>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</si>
  <si>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</si>
  <si>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</si>
  <si>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</si>
  <si>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</si>
  <si>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</si>
  <si>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</si>
  <si>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</si>
  <si>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</si>
  <si>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</si>
  <si>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</si>
  <si>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</si>
  <si>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</si>
  <si>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</si>
  <si>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</si>
  <si>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</si>
  <si>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</si>
  <si>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</si>
  <si>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</si>
  <si>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</si>
  <si>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</si>
  <si>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</si>
  <si>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</si>
  <si>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</si>
  <si>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</si>
  <si>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</si>
  <si>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</si>
  <si>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</si>
  <si>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</si>
  <si>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</si>
  <si>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</si>
  <si>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</si>
  <si>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</si>
  <si>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</si>
  <si>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</si>
  <si>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</si>
  <si>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</si>
  <si>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</si>
  <si>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</si>
  <si>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</si>
  <si>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</si>
  <si>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</si>
  <si>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</si>
  <si>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</si>
  <si>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</si>
  <si>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</si>
  <si>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</si>
  <si>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</si>
  <si>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</si>
  <si>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</si>
  <si>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</si>
  <si>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</si>
  <si>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</si>
  <si>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</si>
  <si>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</si>
  <si>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</si>
  <si>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</si>
  <si>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</si>
  <si>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</si>
  <si>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</si>
  <si>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</si>
  <si>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</si>
  <si>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</si>
  <si>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</si>
  <si>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</si>
  <si>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</si>
  <si>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</si>
  <si>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</si>
  <si>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</si>
  <si>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</si>
  <si>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</si>
  <si>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</si>
  <si>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</si>
  <si>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</si>
  <si>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</si>
  <si>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</si>
  <si>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</si>
  <si>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</si>
  <si>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</si>
  <si>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</si>
  <si>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</si>
  <si>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</si>
  <si>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</si>
  <si>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</si>
  <si>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</si>
  <si>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</si>
  <si>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</si>
  <si>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</si>
  <si>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</si>
  <si>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</si>
  <si>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</si>
  <si>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</si>
  <si>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</si>
  <si>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</si>
  <si>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</si>
  <si>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</si>
  <si>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</si>
  <si>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</si>
  <si>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</si>
  <si>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</si>
  <si>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</si>
  <si>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</si>
  <si>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</si>
  <si>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</si>
  <si>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</si>
  <si>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</si>
  <si>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</si>
  <si>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</si>
  <si>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</si>
  <si>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</si>
  <si>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</si>
  <si>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</si>
  <si>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</si>
  <si>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</si>
  <si>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</si>
  <si>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</si>
  <si>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</si>
  <si>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</si>
  <si>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</si>
  <si>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</si>
  <si>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</si>
  <si>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</si>
  <si>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</si>
  <si>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</si>
  <si>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</si>
  <si>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</si>
  <si>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</si>
  <si>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</si>
  <si>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</si>
  <si>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</si>
  <si>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</si>
  <si>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</si>
  <si>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</si>
  <si>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</si>
  <si>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</si>
  <si>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</si>
  <si>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</si>
  <si>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</si>
  <si>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</si>
  <si>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</si>
  <si>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</si>
  <si>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</si>
  <si>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</si>
  <si>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</si>
  <si>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</si>
  <si>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</si>
  <si>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</si>
  <si>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</si>
  <si>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</si>
  <si>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</si>
  <si>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</si>
  <si>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</si>
  <si>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</si>
  <si>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</si>
  <si>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</si>
  <si>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</si>
  <si>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</si>
  <si>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</si>
  <si>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</si>
  <si>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</si>
  <si>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</si>
  <si>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</si>
  <si>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</si>
  <si>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</si>
  <si>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</si>
  <si>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</si>
  <si>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</si>
  <si>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</si>
  <si>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</si>
  <si>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</si>
  <si>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</si>
  <si>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</si>
  <si>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</si>
  <si>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</si>
  <si>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</si>
  <si>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</si>
  <si>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</si>
  <si>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</si>
  <si>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</si>
  <si>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</si>
  <si>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</si>
  <si>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</si>
  <si>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</si>
  <si>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</si>
  <si>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</si>
  <si>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</si>
  <si>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</si>
  <si>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</si>
  <si>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</si>
  <si>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</si>
  <si>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</si>
  <si>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</si>
  <si>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</si>
  <si>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</si>
  <si>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</si>
  <si>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</si>
  <si>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</si>
  <si>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</si>
  <si>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</si>
  <si>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</si>
  <si>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</si>
  <si>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</si>
  <si>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</si>
  <si>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</si>
  <si>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</si>
  <si>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</si>
  <si>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</si>
  <si>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</si>
  <si>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</si>
  <si>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</si>
  <si>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</si>
  <si>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</si>
  <si>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</si>
  <si>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</si>
  <si>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</si>
  <si>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</si>
  <si>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</si>
  <si>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</si>
  <si>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</si>
  <si>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</si>
  <si>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</si>
  <si>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</si>
  <si>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</si>
  <si>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</si>
  <si>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</si>
  <si>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</si>
  <si>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</si>
  <si>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</si>
  <si>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</si>
  <si>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</si>
  <si>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</si>
  <si>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</si>
  <si>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</si>
  <si>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</si>
  <si>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</si>
  <si>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</si>
  <si>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</si>
  <si>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</si>
  <si>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</si>
  <si>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</si>
  <si>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</si>
  <si>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</si>
  <si>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</si>
  <si>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</si>
  <si>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</si>
  <si>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</si>
  <si>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</si>
  <si>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</si>
  <si>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</si>
  <si>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</si>
  <si>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</si>
  <si>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</si>
  <si>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</si>
  <si>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</si>
  <si>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</si>
  <si>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</si>
  <si>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</si>
  <si>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</si>
  <si>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</si>
  <si>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</si>
  <si>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</si>
  <si>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</si>
  <si>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</si>
  <si>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</si>
  <si>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</si>
  <si>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</si>
  <si>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</si>
  <si>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</si>
  <si>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</si>
  <si>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</si>
  <si>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</si>
  <si>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</si>
  <si>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</si>
  <si>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</si>
  <si>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</si>
  <si>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</si>
  <si>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</si>
  <si>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</si>
  <si>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</si>
  <si>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</si>
  <si>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</si>
  <si>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</si>
  <si>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</si>
  <si>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</si>
  <si>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</si>
  <si>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</si>
  <si>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</si>
  <si>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</si>
  <si>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</si>
  <si>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</si>
  <si>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</si>
  <si>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</si>
  <si>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</si>
  <si>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</si>
  <si>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</si>
  <si>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</si>
  <si>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</si>
  <si>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</si>
  <si>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</si>
  <si>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</si>
  <si>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</si>
  <si>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</si>
  <si>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</si>
  <si>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</si>
  <si>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</si>
  <si>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</si>
  <si>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</si>
  <si>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</si>
  <si>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</si>
  <si>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</si>
  <si>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</si>
  <si>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</si>
  <si>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</si>
  <si>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</si>
  <si>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</si>
  <si>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</si>
  <si>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</si>
  <si>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</si>
  <si>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</si>
  <si>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</si>
  <si>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</si>
  <si>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</si>
  <si>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</si>
  <si>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</si>
  <si>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</si>
  <si>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</si>
  <si>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</si>
  <si>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</si>
  <si>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</si>
  <si>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</si>
  <si>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</si>
  <si>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</si>
  <si>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</si>
  <si>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</si>
  <si>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</si>
  <si>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</si>
  <si>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</si>
  <si>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</si>
  <si>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</si>
  <si>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</si>
  <si>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</si>
  <si>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</si>
  <si>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</si>
  <si>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</si>
  <si>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</si>
  <si>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</si>
  <si>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</si>
  <si>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</si>
  <si>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</si>
  <si>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</si>
  <si>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</si>
  <si>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</si>
  <si>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</si>
  <si>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</si>
  <si>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</si>
  <si>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</si>
  <si>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</si>
  <si>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</si>
  <si>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</si>
  <si>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</si>
  <si>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</si>
  <si>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</si>
  <si>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</si>
  <si>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</si>
  <si>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</si>
  <si>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</si>
  <si>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</si>
  <si>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</si>
  <si>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</si>
  <si>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</si>
  <si>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</si>
  <si>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</si>
  <si>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</si>
  <si>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</si>
  <si>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</si>
  <si>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</si>
  <si>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</si>
  <si>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</si>
  <si>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</si>
  <si>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</si>
  <si>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</si>
  <si>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</si>
  <si>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</si>
  <si>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</si>
  <si>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</si>
  <si>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</si>
  <si>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</si>
  <si>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</si>
  <si>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</si>
  <si>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</si>
  <si>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</si>
  <si>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</si>
  <si>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</si>
  <si>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</si>
  <si>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</si>
  <si>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</si>
  <si>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</si>
  <si>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</si>
  <si>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</si>
  <si>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</si>
  <si>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</si>
  <si>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</si>
  <si>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</si>
  <si>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</si>
  <si>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</si>
  <si>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</si>
  <si>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</si>
  <si>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</si>
  <si>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</si>
  <si>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</si>
  <si>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</si>
  <si>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</si>
  <si>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</si>
  <si>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</si>
  <si>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</si>
  <si>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</si>
  <si>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</si>
  <si>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</si>
  <si>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</si>
  <si>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</si>
  <si>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</si>
  <si>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</si>
  <si>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</si>
  <si>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</si>
  <si>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</si>
  <si>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</si>
  <si>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</si>
  <si>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</si>
  <si>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</si>
  <si>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</si>
  <si>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</si>
  <si>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</si>
  <si>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</si>
  <si>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</si>
  <si>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</si>
  <si>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</si>
  <si>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</si>
  <si>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</si>
  <si>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</si>
  <si>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</si>
  <si>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</si>
  <si>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</si>
  <si>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</si>
  <si>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</si>
  <si>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</si>
  <si>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</si>
  <si>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</si>
  <si>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</si>
  <si>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</si>
  <si>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</si>
  <si>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</si>
  <si>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</si>
  <si>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</si>
  <si>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</si>
  <si>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</si>
  <si>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</si>
  <si>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</si>
  <si>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</si>
  <si>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</si>
  <si>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</si>
  <si>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</si>
  <si>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</si>
  <si>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</si>
  <si>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</si>
  <si>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</si>
  <si>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</si>
  <si>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</si>
  <si>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</si>
  <si>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</si>
  <si>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</si>
  <si>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</si>
  <si>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</si>
  <si>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</si>
  <si>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</si>
  <si>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</si>
  <si>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</si>
  <si>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</si>
  <si>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</si>
  <si>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</si>
  <si>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</si>
  <si>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</si>
  <si>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</si>
  <si>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</si>
  <si>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</si>
  <si>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</si>
  <si>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</si>
  <si>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</si>
  <si>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</si>
  <si>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</si>
  <si>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</si>
  <si>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</si>
  <si>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</si>
  <si>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</si>
  <si>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</si>
  <si>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</si>
  <si>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</si>
  <si>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</si>
  <si>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</si>
  <si>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</si>
  <si>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</si>
  <si>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</si>
  <si>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</si>
  <si>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</si>
  <si>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</si>
  <si>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</si>
  <si>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</si>
  <si>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</si>
  <si>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</si>
  <si>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</si>
  <si>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</si>
  <si>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</si>
  <si>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</si>
  <si>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</si>
  <si>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</si>
  <si>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</si>
  <si>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</si>
  <si>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</si>
  <si>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</si>
  <si>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</si>
  <si>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</si>
  <si>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</si>
  <si>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</si>
  <si>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</si>
  <si>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</si>
  <si>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</si>
  <si>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</si>
  <si>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</si>
  <si>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</si>
  <si>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</si>
  <si>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</si>
  <si>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</si>
  <si>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</si>
  <si>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</si>
  <si>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</si>
  <si>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</si>
  <si>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</si>
  <si>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</si>
  <si>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</si>
  <si>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</si>
  <si>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</si>
  <si>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</si>
  <si>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</si>
  <si>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</si>
  <si>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</si>
  <si>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</si>
  <si>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</si>
  <si>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</si>
  <si>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</si>
  <si>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</si>
  <si>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</si>
  <si>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</si>
  <si>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</si>
  <si>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</si>
  <si>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</si>
  <si>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</si>
  <si>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</si>
  <si>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</si>
  <si>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</si>
  <si>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</si>
  <si>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</si>
  <si>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</si>
  <si>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</si>
  <si>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</si>
  <si>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</si>
  <si>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</si>
  <si>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</si>
  <si>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</si>
  <si>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</si>
  <si>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</si>
  <si>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</si>
  <si>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</si>
  <si>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</si>
  <si>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</si>
  <si>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</si>
  <si>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</si>
  <si>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</si>
  <si>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</si>
  <si>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</si>
  <si>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</si>
  <si>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</si>
  <si>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</si>
  <si>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</si>
  <si>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</si>
  <si>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</si>
  <si>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</si>
  <si>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</si>
  <si>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</si>
  <si>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</si>
  <si>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</si>
  <si>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</si>
  <si>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</si>
  <si>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</si>
  <si>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</si>
  <si>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</si>
  <si>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</si>
  <si>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</si>
  <si>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</si>
  <si>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</si>
  <si>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</si>
  <si>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</si>
  <si>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</si>
  <si>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</si>
  <si>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</si>
  <si>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</si>
  <si>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</si>
  <si>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</si>
  <si>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</si>
  <si>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</si>
  <si>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</si>
  <si>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</si>
  <si>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</si>
  <si>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</si>
  <si>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</si>
  <si>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</si>
  <si>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</si>
  <si>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</si>
  <si>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</si>
  <si>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</si>
  <si>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</si>
  <si>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</si>
  <si>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</si>
  <si>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</si>
  <si>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</si>
  <si>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</si>
  <si>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</si>
  <si>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</si>
  <si>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</si>
  <si>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</si>
  <si>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</si>
  <si>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</si>
  <si>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</si>
  <si>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</si>
  <si>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</si>
  <si>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</si>
  <si>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</si>
  <si>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</si>
  <si>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</si>
  <si>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</si>
  <si>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</si>
  <si>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</si>
  <si>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</si>
  <si>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</si>
  <si>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</si>
  <si>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</si>
  <si>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</si>
  <si>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</si>
  <si>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</si>
  <si>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</si>
  <si>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</si>
  <si>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</si>
  <si>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</si>
  <si>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</si>
  <si>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</si>
  <si>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</si>
  <si>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</si>
  <si>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</si>
  <si>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</si>
  <si>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</si>
  <si>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</si>
  <si>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</si>
  <si>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</si>
  <si>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</si>
  <si>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</si>
  <si>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</si>
  <si>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</si>
  <si>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</si>
  <si>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</si>
  <si>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</si>
  <si>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</si>
  <si>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</si>
  <si>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</si>
  <si>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</si>
  <si>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</si>
  <si>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</si>
  <si>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</si>
  <si>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</si>
  <si>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</si>
  <si>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</si>
  <si>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</si>
  <si>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</si>
  <si>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</si>
  <si>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</si>
  <si>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</si>
  <si>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</si>
  <si>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</si>
  <si>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</si>
  <si>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</si>
  <si>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</si>
  <si>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</si>
  <si>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</si>
  <si>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</si>
  <si>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</si>
  <si>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</si>
  <si>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</si>
  <si>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</si>
  <si>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</si>
  <si>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</si>
  <si>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</si>
  <si>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</si>
  <si>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</si>
  <si>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</si>
  <si>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</si>
  <si>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</si>
  <si>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</si>
  <si>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</si>
  <si>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</si>
  <si>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</si>
  <si>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</si>
  <si>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</si>
  <si>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</si>
  <si>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</si>
  <si>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</si>
  <si>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</si>
  <si>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</si>
  <si>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</si>
  <si>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</si>
  <si>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</si>
  <si>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</si>
  <si>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</si>
  <si>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</si>
  <si>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</si>
  <si>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</si>
  <si>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</si>
  <si>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</si>
  <si>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</si>
  <si>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</si>
  <si>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</si>
  <si>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</si>
  <si>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</si>
  <si>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</si>
  <si>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</si>
  <si>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</si>
  <si>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</si>
  <si>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</si>
  <si>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</si>
  <si>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</si>
  <si>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</si>
  <si>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</si>
  <si>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</si>
  <si>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</si>
  <si>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</si>
  <si>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</si>
  <si>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</si>
  <si>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</si>
  <si>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</si>
  <si>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</si>
  <si>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</si>
  <si>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</si>
  <si>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</si>
  <si>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</si>
  <si>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</si>
  <si>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</si>
  <si>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</si>
  <si>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</si>
  <si>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</si>
  <si>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</si>
  <si>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</si>
  <si>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</si>
  <si>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</si>
  <si>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</si>
  <si>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</si>
  <si>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</si>
  <si>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</si>
  <si>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</si>
  <si>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</si>
  <si>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</si>
  <si>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</si>
  <si>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</si>
  <si>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</si>
  <si>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</si>
  <si>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</si>
  <si>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</si>
  <si>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</si>
  <si>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</si>
  <si>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</si>
  <si>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</si>
  <si>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</si>
  <si>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</si>
  <si>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</si>
  <si>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</si>
  <si>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</si>
  <si>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</si>
  <si>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</si>
  <si>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</si>
  <si>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</si>
  <si>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</si>
  <si>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</si>
  <si>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</si>
  <si>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</si>
  <si>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</si>
  <si>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</si>
  <si>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</si>
  <si>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</si>
  <si>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</si>
  <si>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</si>
  <si>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</si>
  <si>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</si>
  <si>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</si>
  <si>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</si>
  <si>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</si>
  <si>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</si>
  <si>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</si>
  <si>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</si>
  <si>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</si>
  <si>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</si>
  <si>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</si>
  <si>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</si>
  <si>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</si>
  <si>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</si>
  <si>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</si>
  <si>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</si>
  <si>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</si>
  <si>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</si>
  <si>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</si>
  <si>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</si>
  <si>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</si>
  <si>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</si>
  <si>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</si>
  <si>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</si>
  <si>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</si>
  <si>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</si>
  <si>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</si>
  <si>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</si>
  <si>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</si>
  <si>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</si>
  <si>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</si>
  <si>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</si>
  <si>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</si>
  <si>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</si>
  <si>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</si>
  <si>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</si>
  <si>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</si>
  <si>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</si>
  <si>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</si>
  <si>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</si>
  <si>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</si>
  <si>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</si>
  <si>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</si>
  <si>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</si>
  <si>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</si>
  <si>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</si>
  <si>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</si>
  <si>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</si>
  <si>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</si>
  <si>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</si>
  <si>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</si>
  <si>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</si>
  <si>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</si>
  <si>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</si>
  <si>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</si>
  <si>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</si>
  <si>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</si>
  <si>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</si>
  <si>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</si>
  <si>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</si>
  <si>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</si>
  <si>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</si>
  <si>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</si>
  <si>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</si>
  <si>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</si>
  <si>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</si>
  <si>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</si>
  <si>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</si>
  <si>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</si>
  <si>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</si>
  <si>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</si>
  <si>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</si>
  <si>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</si>
  <si>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</si>
  <si>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</si>
  <si>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</si>
  <si>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</si>
  <si>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</si>
  <si>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</si>
  <si>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</si>
  <si>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</si>
  <si>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</si>
  <si>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</si>
  <si>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</si>
  <si>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</si>
  <si>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</si>
  <si>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</si>
  <si>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</si>
  <si>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</si>
  <si>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</si>
  <si>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</si>
  <si>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</si>
  <si>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</si>
  <si>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</si>
  <si>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</si>
  <si>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</si>
  <si>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</si>
  <si>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</si>
  <si>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</si>
  <si>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</si>
  <si>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</si>
  <si>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</si>
  <si>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</si>
  <si>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</si>
  <si>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</si>
  <si>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</si>
  <si>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</si>
  <si>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</si>
  <si>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</si>
  <si>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</si>
  <si>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</si>
  <si>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</si>
  <si>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</si>
  <si>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</si>
  <si>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</si>
  <si>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</si>
  <si>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</si>
  <si>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</si>
  <si>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</si>
  <si>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</si>
  <si>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</si>
  <si>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</si>
  <si>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</si>
  <si>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</si>
  <si>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</si>
  <si>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</si>
  <si>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</si>
  <si>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</si>
  <si>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</si>
  <si>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</si>
  <si>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</si>
  <si>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</si>
  <si>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</si>
  <si>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</si>
  <si>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</si>
  <si>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</si>
  <si>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</si>
  <si>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</si>
  <si>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</si>
  <si>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</si>
  <si>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</si>
  <si>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</si>
  <si>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</si>
  <si>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</si>
  <si>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</si>
  <si>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</si>
  <si>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</si>
  <si>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</si>
  <si>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</si>
  <si>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</si>
  <si>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</si>
  <si>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</si>
  <si>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</si>
  <si>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</si>
  <si>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</si>
  <si>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</si>
  <si>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</si>
  <si>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</si>
  <si>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</si>
  <si>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</si>
  <si>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</si>
  <si>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</si>
  <si>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</si>
  <si>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</si>
  <si>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</si>
  <si>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</si>
  <si>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</si>
  <si>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</si>
  <si>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</si>
  <si>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</si>
  <si>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</si>
  <si>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</si>
  <si>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</si>
  <si>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</si>
  <si>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</si>
  <si>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</si>
  <si>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</si>
  <si>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</si>
  <si>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</si>
  <si>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</si>
  <si>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</si>
  <si>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</si>
  <si>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</si>
  <si>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</si>
  <si>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</si>
  <si>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</si>
  <si>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</si>
  <si>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</si>
  <si>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</si>
  <si>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</si>
  <si>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</si>
  <si>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</si>
  <si>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</si>
  <si>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</si>
  <si>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</si>
  <si>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</si>
  <si>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</si>
  <si>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</si>
  <si>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</si>
  <si>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</si>
  <si>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</si>
  <si>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</si>
  <si>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</si>
  <si>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</si>
  <si>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</si>
  <si>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</si>
  <si>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</si>
  <si>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</si>
  <si>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</si>
  <si>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</si>
  <si>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</si>
  <si>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</si>
  <si>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</si>
  <si>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</si>
  <si>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</si>
  <si>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</si>
  <si>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</si>
  <si>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</si>
  <si>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</si>
  <si>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</si>
  <si>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</si>
  <si>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</si>
  <si>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</si>
  <si>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</si>
  <si>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</si>
  <si>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</si>
  <si>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</si>
  <si>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</si>
  <si>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</si>
  <si>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</si>
  <si>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</si>
  <si>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</si>
  <si>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</si>
  <si>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</si>
  <si>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</si>
  <si>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</si>
  <si>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</si>
  <si>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</si>
  <si>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</si>
  <si>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</si>
  <si>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</si>
  <si>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</si>
  <si>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</si>
  <si>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</si>
  <si>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</si>
  <si>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</si>
  <si>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</si>
  <si>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</si>
  <si>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</si>
  <si>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</si>
  <si>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</si>
  <si>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</si>
  <si>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</si>
  <si>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</si>
  <si>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</si>
  <si>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</si>
  <si>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</si>
  <si>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</si>
  <si>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</si>
  <si>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</si>
  <si>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</si>
  <si>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</si>
  <si>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</si>
  <si>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</si>
  <si>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</si>
  <si>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</si>
  <si>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</si>
  <si>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</si>
  <si>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</si>
  <si>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</si>
  <si>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</si>
  <si>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</si>
  <si>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</si>
  <si>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</si>
  <si>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</si>
  <si>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</si>
  <si>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</si>
  <si>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</si>
  <si>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</si>
  <si>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</si>
  <si>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</si>
  <si>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</si>
  <si>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</si>
  <si>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</si>
  <si>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</si>
  <si>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</si>
  <si>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</si>
  <si>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</si>
  <si>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</si>
  <si>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</si>
  <si>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</si>
  <si>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</si>
  <si>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</si>
  <si>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</si>
  <si>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</si>
  <si>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</si>
  <si>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</si>
  <si>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</si>
  <si>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</si>
  <si>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</si>
  <si>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</si>
  <si>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</si>
  <si>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</si>
  <si>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</si>
  <si>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</si>
  <si>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</si>
  <si>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</si>
  <si>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</si>
  <si>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</si>
  <si>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</si>
  <si>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</si>
  <si>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</si>
  <si>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</si>
  <si>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</si>
  <si>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</si>
  <si>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</si>
  <si>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</si>
  <si>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</si>
  <si>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</si>
  <si>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</si>
  <si>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</si>
  <si>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</si>
  <si>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</si>
  <si>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</si>
  <si>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</si>
  <si>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</si>
  <si>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</si>
  <si>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</si>
  <si>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</si>
  <si>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</si>
  <si>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</si>
  <si>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</si>
  <si>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</si>
  <si>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</si>
  <si>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</si>
  <si>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</si>
  <si>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</si>
  <si>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</si>
  <si>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</si>
  <si>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</si>
  <si>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</si>
  <si>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</si>
  <si>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</si>
  <si>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</si>
  <si>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</si>
  <si>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</si>
  <si>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</si>
  <si>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</si>
  <si>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</si>
  <si>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</si>
  <si>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</si>
  <si>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</si>
  <si>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</si>
  <si>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</si>
  <si>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</si>
  <si>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</si>
  <si>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</si>
  <si>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</si>
  <si>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</si>
  <si>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</si>
  <si>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</si>
  <si>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</si>
  <si>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</si>
  <si>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</si>
  <si>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</si>
  <si>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</si>
  <si>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</si>
  <si>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</si>
  <si>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</si>
  <si>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</si>
  <si>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</si>
  <si>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</si>
  <si>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</si>
  <si>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</si>
  <si>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</si>
  <si>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</si>
  <si>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</si>
  <si>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</si>
  <si>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</si>
  <si>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</si>
  <si>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</si>
  <si>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</si>
  <si>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</si>
  <si>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</si>
  <si>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</si>
  <si>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</si>
  <si>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</si>
  <si>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</si>
  <si>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</si>
  <si>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</si>
  <si>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</si>
  <si>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</si>
  <si>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</si>
  <si>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</si>
  <si>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</si>
  <si>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</si>
  <si>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</si>
  <si>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</si>
  <si>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</si>
  <si>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</si>
  <si>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</si>
  <si>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</si>
  <si>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</si>
  <si>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</si>
  <si>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</si>
  <si>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</si>
  <si>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</si>
  <si>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</si>
  <si>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</si>
  <si>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</si>
  <si>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</si>
  <si>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</si>
  <si>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</si>
  <si>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</si>
  <si>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</si>
  <si>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</si>
  <si>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</si>
  <si>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</si>
  <si>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</si>
  <si>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</si>
  <si>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</si>
  <si>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</si>
  <si>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</si>
  <si>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</si>
  <si>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</si>
  <si>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</si>
  <si>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</si>
  <si>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</si>
  <si>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</si>
  <si>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</si>
  <si>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</si>
  <si>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</si>
  <si>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</si>
  <si>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</si>
  <si>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</si>
  <si>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</si>
  <si>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</si>
  <si>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</si>
  <si>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</si>
  <si>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</si>
  <si>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</si>
  <si>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</si>
  <si>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</si>
  <si>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</si>
  <si>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</si>
  <si>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</si>
  <si>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</si>
  <si>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</si>
  <si>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</si>
  <si>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</si>
  <si>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</si>
  <si>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</si>
  <si>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</si>
  <si>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</si>
  <si>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</si>
  <si>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</si>
  <si>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</si>
  <si>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</si>
  <si>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</si>
  <si>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</si>
  <si>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</si>
  <si>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</si>
  <si>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</si>
  <si>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</si>
  <si>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</si>
  <si>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</si>
  <si>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</si>
  <si>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</si>
  <si>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</si>
  <si>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</si>
  <si>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</si>
  <si>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</si>
  <si>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</si>
  <si>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</si>
  <si>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</si>
  <si>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</si>
  <si>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</si>
  <si>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</si>
  <si>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</si>
  <si>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</si>
  <si>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</si>
  <si>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</si>
  <si>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</si>
  <si>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</si>
  <si>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</si>
  <si>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</si>
  <si>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</si>
  <si>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</si>
  <si>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</si>
  <si>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</si>
  <si>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</si>
  <si>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</si>
  <si>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</si>
  <si>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</si>
  <si>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</si>
  <si>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</si>
  <si>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</si>
  <si>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</si>
  <si>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</si>
  <si>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</si>
  <si>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</si>
  <si>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</si>
  <si>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</si>
  <si>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</si>
  <si>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</si>
  <si>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</si>
  <si>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</si>
  <si>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</si>
  <si>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</si>
  <si>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</si>
  <si>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</si>
  <si>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</si>
  <si>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</si>
  <si>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</si>
  <si>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</si>
  <si>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</si>
  <si>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</si>
  <si>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</si>
  <si>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</si>
  <si>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</si>
  <si>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</si>
  <si>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</si>
  <si>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</si>
  <si>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</si>
  <si>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</si>
  <si>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</si>
  <si>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</si>
  <si>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</si>
  <si>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</si>
  <si>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</si>
  <si>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</si>
  <si>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</si>
  <si>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</si>
  <si>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</si>
  <si>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</si>
  <si>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</si>
  <si>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</si>
  <si>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</si>
  <si>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</si>
  <si>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</si>
  <si>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</si>
  <si>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</si>
  <si>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</si>
  <si>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</si>
  <si>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</si>
  <si>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</si>
  <si>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</si>
  <si>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</si>
  <si>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</si>
  <si>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</si>
  <si>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</si>
  <si>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</si>
  <si>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</si>
  <si>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</si>
  <si>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</si>
  <si>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</si>
  <si>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</si>
  <si>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</si>
  <si>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</si>
  <si>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</si>
  <si>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</si>
  <si>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</si>
  <si>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</si>
  <si>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</si>
  <si>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</si>
  <si>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</si>
  <si>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</si>
  <si>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</si>
  <si>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</si>
  <si>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</si>
  <si>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</si>
  <si>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</si>
  <si>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</si>
  <si>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</si>
  <si>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</si>
  <si>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</si>
  <si>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</si>
  <si>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</si>
  <si>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</si>
  <si>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</si>
  <si>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</si>
  <si>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</si>
  <si>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</si>
  <si>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</si>
  <si>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</si>
  <si>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</si>
  <si>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</si>
  <si>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</si>
  <si>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</si>
  <si>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</si>
  <si>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</si>
  <si>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</si>
  <si>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</si>
  <si>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</si>
  <si>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</si>
  <si>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</si>
  <si>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</si>
  <si>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</si>
  <si>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</si>
  <si>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</si>
  <si>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</si>
  <si>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</si>
  <si>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</si>
  <si>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</si>
  <si>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</si>
  <si>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</si>
  <si>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</si>
  <si>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</si>
  <si>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</si>
  <si>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</si>
  <si>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</si>
  <si>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</si>
  <si>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</si>
  <si>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</si>
  <si>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</si>
  <si>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</si>
  <si>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</si>
  <si>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</si>
  <si>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</si>
  <si>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</si>
  <si>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</si>
  <si>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</si>
  <si>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</si>
  <si>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</si>
  <si>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</si>
  <si>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</si>
  <si>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</si>
  <si>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</si>
  <si>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</si>
  <si>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</si>
  <si>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</si>
  <si>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</si>
  <si>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</si>
  <si>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</si>
  <si>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</si>
  <si>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</si>
  <si>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</si>
  <si>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</si>
  <si>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</si>
  <si>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</si>
  <si>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</si>
  <si>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</si>
  <si>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</si>
  <si>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</si>
  <si>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</si>
  <si>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</si>
  <si>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</si>
  <si>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</si>
  <si>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</si>
  <si>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</si>
  <si>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</si>
  <si>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</si>
  <si>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</si>
  <si>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</si>
  <si>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</si>
  <si>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</si>
  <si>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</si>
  <si>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</si>
  <si>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</si>
  <si>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</si>
  <si>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</si>
  <si>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</si>
  <si>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</si>
  <si>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</si>
  <si>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</si>
  <si>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</si>
  <si>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</si>
  <si>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</si>
  <si>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</si>
  <si>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</si>
  <si>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</si>
  <si>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</si>
  <si>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</si>
  <si>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</si>
  <si>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</si>
  <si>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</si>
  <si>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</si>
  <si>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</si>
  <si>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</si>
  <si>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</si>
  <si>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</si>
  <si>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</si>
  <si>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</si>
  <si>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</si>
  <si>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</si>
  <si>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</si>
  <si>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</si>
  <si>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</si>
  <si>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</si>
  <si>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</si>
  <si>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</si>
  <si>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</si>
  <si>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</si>
  <si>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</si>
  <si>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</si>
  <si>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</si>
  <si>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</si>
  <si>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</si>
  <si>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</si>
  <si>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</si>
  <si>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</si>
  <si>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</si>
  <si>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</si>
  <si>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</si>
  <si>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</si>
  <si>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</si>
  <si>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</si>
  <si>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</si>
  <si>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</si>
  <si>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</si>
  <si>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</si>
  <si>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</si>
  <si>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</si>
  <si>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</si>
  <si>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</si>
  <si>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</si>
  <si>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</si>
  <si>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</si>
  <si>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</si>
  <si>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</si>
  <si>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</si>
  <si>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</si>
  <si>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</si>
  <si>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</si>
  <si>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</si>
  <si>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</si>
  <si>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</si>
  <si>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</si>
  <si>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</si>
  <si>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</si>
  <si>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</si>
  <si>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</si>
  <si>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</si>
  <si>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</si>
  <si>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</si>
  <si>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</si>
  <si>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</si>
  <si>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</si>
  <si>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</si>
  <si>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</si>
  <si>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</si>
  <si>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</si>
  <si>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</si>
  <si>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</si>
  <si>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</si>
  <si>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</si>
  <si>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</si>
  <si>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</si>
  <si>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</si>
  <si>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</si>
  <si>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</si>
  <si>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</si>
  <si>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</si>
  <si>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</si>
  <si>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</si>
  <si>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</si>
  <si>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</si>
  <si>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</si>
  <si>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</si>
  <si>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</si>
  <si>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</si>
  <si>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</si>
  <si>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</si>
  <si>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</si>
  <si>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</si>
  <si>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</si>
  <si>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</si>
  <si>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</si>
  <si>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</si>
  <si>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</si>
  <si>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</si>
  <si>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</si>
  <si>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</si>
  <si>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</si>
  <si>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</si>
  <si>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</si>
  <si>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</si>
  <si>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</si>
  <si>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</si>
  <si>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</si>
  <si>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</si>
  <si>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</si>
  <si>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</si>
  <si>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</si>
  <si>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</si>
  <si>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</si>
  <si>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</si>
  <si>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</si>
  <si>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</si>
  <si>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</si>
  <si>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</si>
  <si>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</si>
  <si>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</si>
  <si>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</si>
  <si>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</si>
  <si>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</si>
  <si>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</si>
  <si>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</si>
  <si>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</si>
  <si>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</si>
  <si>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</si>
  <si>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</si>
  <si>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</si>
  <si>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</si>
  <si>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</si>
  <si>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</si>
  <si>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</si>
  <si>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</si>
  <si>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</si>
  <si>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</si>
  <si>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</si>
  <si>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</si>
  <si>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</si>
  <si>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</si>
  <si>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</si>
  <si>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</si>
  <si>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</si>
  <si>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</si>
  <si>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</si>
  <si>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</si>
  <si>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</si>
  <si>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</si>
  <si>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</si>
  <si>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</si>
  <si>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</si>
  <si>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</si>
  <si>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</si>
  <si>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</si>
  <si>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</si>
  <si>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</si>
  <si>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</si>
  <si>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</si>
  <si>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</si>
  <si>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</si>
  <si>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</si>
  <si>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</si>
  <si>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</si>
  <si>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</si>
  <si>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</si>
  <si>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</si>
  <si>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</si>
  <si>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</si>
  <si>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</si>
  <si>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</si>
  <si>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</si>
  <si>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</si>
  <si>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</si>
  <si>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</si>
  <si>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</si>
  <si>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</si>
  <si>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</si>
  <si>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</si>
  <si>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</si>
  <si>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</si>
  <si>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</si>
  <si>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</si>
  <si>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</si>
  <si>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</si>
  <si>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</si>
  <si>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</si>
  <si>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</si>
  <si>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</si>
  <si>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</si>
  <si>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</si>
  <si>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</si>
  <si>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</si>
  <si>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</si>
  <si>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</si>
  <si>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</si>
  <si>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</si>
  <si>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</si>
  <si>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</si>
  <si>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</si>
  <si>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</si>
  <si>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</si>
  <si>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</si>
  <si>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</si>
  <si>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</si>
  <si>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</si>
  <si>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</si>
  <si>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</si>
  <si>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</si>
  <si>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</si>
  <si>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</si>
  <si>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</si>
  <si>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</si>
  <si>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</si>
  <si>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</si>
  <si>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</si>
  <si>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</si>
  <si>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</si>
  <si>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</si>
  <si>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</si>
  <si>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</si>
  <si>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</si>
  <si>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</si>
  <si>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</si>
  <si>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</si>
  <si>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</si>
  <si>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</si>
  <si>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</si>
  <si>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</si>
  <si>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</si>
  <si>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</si>
  <si>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</si>
  <si>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</si>
  <si>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</si>
  <si>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</si>
  <si>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</si>
  <si>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</si>
  <si>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</si>
  <si>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</si>
  <si>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</si>
  <si>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</si>
  <si>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</si>
  <si>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</si>
  <si>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</si>
  <si>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</si>
  <si>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</si>
  <si>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</si>
  <si>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</si>
  <si>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</si>
  <si>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</si>
  <si>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</si>
  <si>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</si>
  <si>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</si>
  <si>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</si>
  <si>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</si>
  <si>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</si>
  <si>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</si>
  <si>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</si>
  <si>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</si>
  <si>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</si>
  <si>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</si>
  <si>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</si>
  <si>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</si>
  <si>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</si>
  <si>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</si>
  <si>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</si>
  <si>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</si>
  <si>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</si>
  <si>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</si>
  <si>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</si>
  <si>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</si>
  <si>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</si>
  <si>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</si>
  <si>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</si>
  <si>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</si>
  <si>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</si>
  <si>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</si>
  <si>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</si>
  <si>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</si>
  <si>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</si>
  <si>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</si>
  <si>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</si>
  <si>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</si>
  <si>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</si>
  <si>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</si>
  <si>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</si>
  <si>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</si>
  <si>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</si>
  <si>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</si>
  <si>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</si>
  <si>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</si>
  <si>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</si>
  <si>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</si>
  <si>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</si>
  <si>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</si>
  <si>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</si>
  <si>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</si>
  <si>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</si>
  <si>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</si>
  <si>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</si>
  <si>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</si>
  <si>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</si>
  <si>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</si>
  <si>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</si>
  <si>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</si>
  <si>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</si>
  <si>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</si>
  <si>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</si>
  <si>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</si>
  <si>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</si>
  <si>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</si>
  <si>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</si>
  <si>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</si>
  <si>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</si>
  <si>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</si>
  <si>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</si>
  <si>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</si>
  <si>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</si>
  <si>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</si>
  <si>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</si>
  <si>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</si>
  <si>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</si>
  <si>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</si>
  <si>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</si>
  <si>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</si>
  <si>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</si>
  <si>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</si>
  <si>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</si>
  <si>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</si>
  <si>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</si>
  <si>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</si>
  <si>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</si>
  <si>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</si>
  <si>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</si>
  <si>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</si>
  <si>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</si>
  <si>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</si>
  <si>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</si>
  <si>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</si>
  <si>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</si>
  <si>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</si>
  <si>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</si>
  <si>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</si>
  <si>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</si>
  <si>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</si>
  <si>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</si>
  <si>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</si>
  <si>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</si>
  <si>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</si>
  <si>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</si>
  <si>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</si>
  <si>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</si>
  <si>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</si>
  <si>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</si>
  <si>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</si>
  <si>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</si>
  <si>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</si>
  <si>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</si>
  <si>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</si>
  <si>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</si>
  <si>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</si>
  <si>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</si>
  <si>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</si>
  <si>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</si>
  <si>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</si>
  <si>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</si>
  <si>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</si>
  <si>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</si>
  <si>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</si>
  <si>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</si>
  <si>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</si>
  <si>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</si>
  <si>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</si>
  <si>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</si>
  <si>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</si>
  <si>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</si>
  <si>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</si>
  <si>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</si>
  <si>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</si>
  <si>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</si>
  <si>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</si>
  <si>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</si>
  <si>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</si>
  <si>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</si>
  <si>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</si>
  <si>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</si>
  <si>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</si>
  <si>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</si>
  <si>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</si>
  <si>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</si>
  <si>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</si>
  <si>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</si>
  <si>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</si>
  <si>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</si>
  <si>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</si>
  <si>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</si>
  <si>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</si>
  <si>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</si>
  <si>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</si>
  <si>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</si>
  <si>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</si>
  <si>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</si>
  <si>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</si>
  <si>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</si>
  <si>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</si>
  <si>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</si>
  <si>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</si>
  <si>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</si>
  <si>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</si>
  <si>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</si>
  <si>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</si>
  <si>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</si>
  <si>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</si>
  <si>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</si>
  <si>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</si>
  <si>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</si>
  <si>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</si>
  <si>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</si>
  <si>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</si>
  <si>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</si>
  <si>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</si>
  <si>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</si>
  <si>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</si>
  <si>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</si>
  <si>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</si>
  <si>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</si>
  <si>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</si>
  <si>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</si>
  <si>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</si>
  <si>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</si>
  <si>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</si>
  <si>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</si>
  <si>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</si>
  <si>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</si>
  <si>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</si>
  <si>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</si>
  <si>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</si>
  <si>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</si>
  <si>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</si>
  <si>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</si>
  <si>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</si>
  <si>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</si>
  <si>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</si>
  <si>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</si>
  <si>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</si>
  <si>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</si>
  <si>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</si>
  <si>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</si>
  <si>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</si>
  <si>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</si>
  <si>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</si>
  <si>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</si>
  <si>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</si>
  <si>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</si>
  <si>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</si>
  <si>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</si>
  <si>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</si>
  <si>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</si>
  <si>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</si>
  <si>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</si>
  <si>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</si>
  <si>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</si>
  <si>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</si>
  <si>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</si>
  <si>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</si>
  <si>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</si>
  <si>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</si>
  <si>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</si>
  <si>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</si>
  <si>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</si>
  <si>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</si>
  <si>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</si>
  <si>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</si>
  <si>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</si>
  <si>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</si>
  <si>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</si>
  <si>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</si>
  <si>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</si>
  <si>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</si>
  <si>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</si>
  <si>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</si>
  <si>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</si>
  <si>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</si>
  <si>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</si>
  <si>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</si>
  <si>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</si>
  <si>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</si>
  <si>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</si>
  <si>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</si>
  <si>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</si>
  <si>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</si>
  <si>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</si>
  <si>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</si>
  <si>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</si>
  <si>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</si>
  <si>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</si>
  <si>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</si>
  <si>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</si>
  <si>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</si>
  <si>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</si>
  <si>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</si>
  <si>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</si>
  <si>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</si>
  <si>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</si>
  <si>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</si>
  <si>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</si>
  <si>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</si>
  <si>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</si>
  <si>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</si>
  <si>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</si>
  <si>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</si>
  <si>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</si>
  <si>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</si>
  <si>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</si>
  <si>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</si>
  <si>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</si>
  <si>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</si>
  <si>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</si>
  <si>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</si>
  <si>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</si>
  <si>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</si>
  <si>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</si>
  <si>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</si>
  <si>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</si>
  <si>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</si>
  <si>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</si>
  <si>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</si>
  <si>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</si>
  <si>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</si>
  <si>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</si>
  <si>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</si>
  <si>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</si>
  <si>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</si>
  <si>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</si>
  <si>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</si>
  <si>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</si>
  <si>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</si>
  <si>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</si>
  <si>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</si>
  <si>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</si>
  <si>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</si>
  <si>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</si>
  <si>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</si>
  <si>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</si>
  <si>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</si>
  <si>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</si>
  <si>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</si>
  <si>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</si>
  <si>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</si>
  <si>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</si>
  <si>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</si>
  <si>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</si>
  <si>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</si>
  <si>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</si>
  <si>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</si>
  <si>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</si>
  <si>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</si>
  <si>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</si>
  <si>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</si>
  <si>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</si>
  <si>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</si>
  <si>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</si>
  <si>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</si>
  <si>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</si>
  <si>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</si>
  <si>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</si>
  <si>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</si>
  <si>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</si>
  <si>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</si>
  <si>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</si>
  <si>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</si>
  <si>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</si>
  <si>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</si>
  <si>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</si>
  <si>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</si>
  <si>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</si>
  <si>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</si>
  <si>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</si>
  <si>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</si>
  <si>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</si>
  <si>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</si>
  <si>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</si>
  <si>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</si>
  <si>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</si>
  <si>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</si>
  <si>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</si>
  <si>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</si>
  <si>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</si>
  <si>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</si>
  <si>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</si>
  <si>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</si>
  <si>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</si>
  <si>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</si>
  <si>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</si>
  <si>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</si>
  <si>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</si>
  <si>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</si>
  <si>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</si>
  <si>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</si>
  <si>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</si>
  <si>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</si>
  <si>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</si>
  <si>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</si>
  <si>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</si>
  <si>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</si>
  <si>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</si>
  <si>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</si>
  <si>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</si>
  <si>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</si>
  <si>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</si>
  <si>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</si>
  <si>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</si>
  <si>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</si>
  <si>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</si>
  <si>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</si>
  <si>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</si>
  <si>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</si>
  <si>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</si>
  <si>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</si>
  <si>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</si>
  <si>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</si>
  <si>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</si>
  <si>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</si>
  <si>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</si>
  <si>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</si>
  <si>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</si>
  <si>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</si>
  <si>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</si>
  <si>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</si>
  <si>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</si>
  <si>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</si>
  <si>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</si>
  <si>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</si>
  <si>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</si>
  <si>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</si>
  <si>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</si>
  <si>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</si>
  <si>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</si>
  <si>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</si>
  <si>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</si>
  <si>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</si>
  <si>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</si>
  <si>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</si>
  <si>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</si>
  <si>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</si>
  <si>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</si>
  <si>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</si>
  <si>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</si>
  <si>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</si>
  <si>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</si>
  <si>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</si>
  <si>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</si>
  <si>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</si>
  <si>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</si>
  <si>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</si>
  <si>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</si>
  <si>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</si>
  <si>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</si>
  <si>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</si>
  <si>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</si>
  <si>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</si>
  <si>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</si>
  <si>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</si>
  <si>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</si>
  <si>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</si>
  <si>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</si>
  <si>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</si>
  <si>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</si>
  <si>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</si>
  <si>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</si>
  <si>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</si>
  <si>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</si>
  <si>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</si>
  <si>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</si>
  <si>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</si>
  <si>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</si>
  <si>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</si>
  <si>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</si>
  <si>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</si>
  <si>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</si>
  <si>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</si>
  <si>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</si>
  <si>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</si>
  <si>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</si>
  <si>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</si>
  <si>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</si>
  <si>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</si>
  <si>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</si>
  <si>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</si>
  <si>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</si>
  <si>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</si>
  <si>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</si>
  <si>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</si>
  <si>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</si>
  <si>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</si>
  <si>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</si>
  <si>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</si>
  <si>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</si>
  <si>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</si>
  <si>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</si>
  <si>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</si>
  <si>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</si>
  <si>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</si>
  <si>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</si>
  <si>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</si>
  <si>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</si>
  <si>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</si>
  <si>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</si>
  <si>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</si>
  <si>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</si>
  <si>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</si>
  <si>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</si>
  <si>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</si>
  <si>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</si>
  <si>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</si>
  <si>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</si>
  <si>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</si>
  <si>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</si>
  <si>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</si>
  <si>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</si>
  <si>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</si>
  <si>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</si>
  <si>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</si>
  <si>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</si>
  <si>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</si>
  <si>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</si>
  <si>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</si>
  <si>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</si>
  <si>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</si>
  <si>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</si>
  <si>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</si>
  <si>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</si>
  <si>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</si>
  <si>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</si>
  <si>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</si>
  <si>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</si>
  <si>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</si>
  <si>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</si>
  <si>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</si>
  <si>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</si>
  <si>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</si>
  <si>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</si>
  <si>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</si>
  <si>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</si>
  <si>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</si>
  <si>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</si>
  <si>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</si>
  <si>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</si>
  <si>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</si>
  <si>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</si>
  <si>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</si>
  <si>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</si>
  <si>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</si>
  <si>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</si>
  <si>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</si>
  <si>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</si>
  <si>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</si>
  <si>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</si>
  <si>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</si>
  <si>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</si>
  <si>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</si>
  <si>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</si>
  <si>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</si>
  <si>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</si>
  <si>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</si>
  <si>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</si>
  <si>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</si>
  <si>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</si>
  <si>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</si>
  <si>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</si>
  <si>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</si>
  <si>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</si>
  <si>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</si>
  <si>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</si>
  <si>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</si>
  <si>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</si>
  <si>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</si>
  <si>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</si>
  <si>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</si>
  <si>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</si>
  <si>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</si>
  <si>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</si>
  <si>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</si>
  <si>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</si>
  <si>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</si>
  <si>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</si>
  <si>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</si>
  <si>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</si>
  <si>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</si>
  <si>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</si>
  <si>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</si>
  <si>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</si>
  <si>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</si>
  <si>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</si>
  <si>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</si>
  <si>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</si>
  <si>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</si>
  <si>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</si>
  <si>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</si>
  <si>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</si>
  <si>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</si>
  <si>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</si>
  <si>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</si>
  <si>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</si>
  <si>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</si>
  <si>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</si>
  <si>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</si>
  <si>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</si>
  <si>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</si>
  <si>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</si>
  <si>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</si>
  <si>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</si>
  <si>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</si>
  <si>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</si>
  <si>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</si>
  <si>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</si>
  <si>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</si>
  <si>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</si>
  <si>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</si>
  <si>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</si>
  <si>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</si>
  <si>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</si>
  <si>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</si>
  <si>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</si>
  <si>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</si>
  <si>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</si>
  <si>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</si>
  <si>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</si>
  <si>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</si>
  <si>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</si>
  <si>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</si>
  <si>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</si>
  <si>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</si>
  <si>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</si>
  <si>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</si>
  <si>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</si>
  <si>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</si>
  <si>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</si>
  <si>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</si>
  <si>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</si>
  <si>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</si>
  <si>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</si>
  <si>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</si>
  <si>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</si>
  <si>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</si>
  <si>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</si>
  <si>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</si>
  <si>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</si>
  <si>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</si>
  <si>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</si>
  <si>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</si>
  <si>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</si>
  <si>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</si>
  <si>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</si>
  <si>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</si>
  <si>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</si>
  <si>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</si>
  <si>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</si>
  <si>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</si>
  <si>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</si>
  <si>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</si>
  <si>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</si>
  <si>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</si>
  <si>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</si>
  <si>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</si>
  <si>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</si>
  <si>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</si>
  <si>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</si>
  <si>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</si>
  <si>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</si>
  <si>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</si>
  <si>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</si>
  <si>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</si>
  <si>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</si>
  <si>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</si>
  <si>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</si>
  <si>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</si>
  <si>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</si>
  <si>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</si>
  <si>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</si>
  <si>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</si>
  <si>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</si>
  <si>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</si>
  <si>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</si>
  <si>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</si>
  <si>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</si>
  <si>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</si>
  <si>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</si>
  <si>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</si>
  <si>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</si>
  <si>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</si>
  <si>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</si>
  <si>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</si>
  <si>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</si>
  <si>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</si>
  <si>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</si>
  <si>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Jabron</t>
  </si>
  <si>
    <t xml:space="preserve">Comps sur Artuby</t>
  </si>
  <si>
    <t xml:space="preserve">06111555</t>
  </si>
  <si>
    <t xml:space="preserve">RCS PACA</t>
  </si>
  <si>
    <t xml:space="preserve">Robustesse:</t>
  </si>
  <si>
    <t xml:space="preserve">radier</t>
  </si>
  <si>
    <t xml:space="preserve">pl. lent</t>
  </si>
  <si>
    <t xml:space="preserve">faible</t>
  </si>
  <si>
    <t xml:space="preserve">(moyen)</t>
  </si>
  <si>
    <t xml:space="preserve">périphyton</t>
  </si>
  <si>
    <t xml:space="preserve"> rec. par taxa (0,08975 %) supérieur à 20 % !</t>
  </si>
  <si>
    <t xml:space="preserve">NEWCOD</t>
  </si>
  <si>
    <t xml:space="preserve">Leptolyngbya</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</si>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</sst>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30" borderId="58" xfId="0" applyFont="true" applyBorder="true" applyAlignment="true" applyProtection="true">
      <alignment horizontal="left" vertical="top" textRotation="0" wrapText="false" indent="0" shrinkToFit="false"/>
      <protection locked="true" hidden="true"/>
    </xf>
    <xf numFmtId="172" fontId="37" fillId="30" borderId="58" xfId="0" applyFont="true" applyBorder="true" applyAlignment="true" applyProtection="true">
      <alignment horizontal="center" vertical="top" textRotation="0" wrapText="false" indent="0" shrinkToFit="false"/>
      <protection locked="true" hidden="true"/>
    </xf>
    <xf numFmtId="164" fontId="35"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6" fillId="30" borderId="71" xfId="0" applyFont="true" applyBorder="true" applyAlignment="true" applyProtection="true">
      <alignment horizontal="center" vertical="top" textRotation="0" wrapText="false" indent="0" shrinkToFit="false"/>
      <protection locked="true" hidden="true"/>
    </xf>
    <xf numFmtId="164" fontId="121"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41081</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12.5</v>
      </c>
      <c r="M5" s="543"/>
      <c r="N5" s="544"/>
      <c r="O5" s="545" t="n">
        <v>10.3333333333333</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55</v>
      </c>
      <c r="C7" s="342" t="n">
        <v>45</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8.66666666666667</v>
      </c>
      <c r="O8" s="358" t="n">
        <f aca="false">AVERAGE(J23:J82)</f>
        <v>1.33333333333333</v>
      </c>
      <c r="P8" s="359"/>
      <c r="Q8" s="284"/>
      <c r="R8" s="284"/>
      <c r="S8" s="284"/>
      <c r="T8" s="284"/>
      <c r="U8" s="284"/>
      <c r="V8" s="284"/>
      <c r="W8" s="296"/>
      <c r="X8" s="297"/>
    </row>
    <row r="9" customFormat="false" ht="13.5" hidden="false" customHeight="false" outlineLevel="0" collapsed="false">
      <c r="A9" s="317" t="s">
        <v>2649</v>
      </c>
      <c r="B9" s="360" t="n">
        <v>0.02</v>
      </c>
      <c r="C9" s="361" t="n">
        <v>0.18</v>
      </c>
      <c r="D9" s="362"/>
      <c r="E9" s="362"/>
      <c r="F9" s="363" t="n">
        <f aca="false">($B9*$B$7+$C9*$C$7)/100</f>
        <v>0.092</v>
      </c>
      <c r="G9" s="364"/>
      <c r="H9" s="365"/>
      <c r="I9" s="366"/>
      <c r="J9" s="367"/>
      <c r="K9" s="348"/>
      <c r="L9" s="368"/>
      <c r="M9" s="357" t="s">
        <v>2650</v>
      </c>
      <c r="N9" s="358" t="n">
        <f aca="false">STDEV(I23:I82)</f>
        <v>6.5</v>
      </c>
      <c r="O9" s="358" t="n">
        <f aca="false">STDEV(J23:J82)</f>
        <v>1</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19</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3</v>
      </c>
      <c r="L13" s="390"/>
      <c r="M13" s="401" t="s">
        <v>2661</v>
      </c>
      <c r="N13" s="402" t="n">
        <f aca="false">COUNTIF(F23:F82,"&gt;0")</f>
        <v>10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9</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3</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3</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0.02</v>
      </c>
      <c r="C20" s="440" t="n">
        <f aca="false">SUM(C23:C82)</f>
        <v>0.175</v>
      </c>
      <c r="D20" s="441"/>
      <c r="E20" s="442" t="s">
        <v>2673</v>
      </c>
      <c r="F20" s="443" t="n">
        <f aca="false">($B20*$B$7+$C20*$C$7)/100</f>
        <v>0.08975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0.011</v>
      </c>
      <c r="C21" s="453" t="n">
        <f aca="false">C20*C7/100</f>
        <v>0.07875</v>
      </c>
      <c r="D21" s="385" t="str">
        <f aca="false">IF(F21=0,"",IF((ABS(F21-F19))&gt;(0.2*F21),CONCATENATE(" rec. par taxa (",F21," %) supérieur à 20 % !"),""))</f>
        <v> rec. par taxa (0,08975 %) supérieur à 20 % !</v>
      </c>
      <c r="E21" s="454" t="str">
        <f aca="false">IF(F21=0,"",IF((ABS(F21-F19))&gt;(0.2*F21),CONCATENATE("ATTENTION : écart entre rec. par grp (",F19," %) ","et",""),""))</f>
        <v>ATTENTION : écart entre rec. par grp (0 %) et</v>
      </c>
      <c r="F21" s="455" t="n">
        <f aca="false">B21+C21</f>
        <v>0.08975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70</v>
      </c>
      <c r="B23" s="499" t="n">
        <v>0.005</v>
      </c>
      <c r="C23" s="500" t="n">
        <v>0.005</v>
      </c>
      <c r="D23" s="501" t="str">
        <f aca="false">IF(ISERROR(VLOOKUP($A23,'liste reference'!$A$7:$D$904,2,0)),IF(ISERROR(VLOOKUP($A23,'liste reference'!$B$7:$D$904,1,0)),"",VLOOKUP($A23,'liste reference'!$B$7:$D$904,1,0)),VLOOKUP($A23,'liste reference'!$A$7:$D$904,2,0))</f>
        <v>Batrachospermum sp.</v>
      </c>
      <c r="E23" s="501" t="e">
        <f aca="false">IF(D23="",0,VLOOKUP(D23,D$22:D22,1,0))</f>
        <v>#N/A</v>
      </c>
      <c r="F23" s="508" t="n">
        <f aca="false">($B23*$B$7+$C23*$C$7)/100</f>
        <v>0.005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16</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1155</v>
      </c>
      <c r="Q23" s="491" t="n">
        <f aca="false">IF(ISTEXT(H23),"",(B23*$B$7/100)+(C23*$C$7/100))</f>
        <v>0.005</v>
      </c>
      <c r="R23" s="492" t="n">
        <f aca="false">IF(OR(ISTEXT(H23),Q23=0),"",IF(Q23&lt;0.1,1,IF(Q23&lt;1,2,IF(Q23&lt;10,3,IF(Q23&lt;50,4,IF(Q23&gt;=50,5,""))))))</f>
        <v>1</v>
      </c>
      <c r="S23" s="492" t="n">
        <f aca="false">IF(ISERROR(R23*I23),0,R23*I23)</f>
        <v>16</v>
      </c>
      <c r="T23" s="492" t="n">
        <f aca="false">IF(ISERROR(R23*I23*J23),0,R23*I23*J23)</f>
        <v>32</v>
      </c>
      <c r="U23" s="492" t="n">
        <f aca="false">IF(ISERROR(R23*J23),0,R23*J23)</f>
        <v>2</v>
      </c>
      <c r="V23" s="493" t="n">
        <v>2</v>
      </c>
      <c r="W23" s="494"/>
      <c r="Y23" s="495" t="str">
        <f aca="false">IF(A23="new.cod","NEWCOD",IF(AND((Z23=""),ISTEXT(A23)),A23,IF(Z23="","",INDEX('liste reference'!$A$7:$A$904,Z23))))</f>
        <v>BATSPX</v>
      </c>
      <c r="Z23" s="284" t="n">
        <f aca="false">IF(ISERROR(MATCH(A23,'liste reference'!$A$7:$A$904,0)),IF(ISERROR(MATCH(A23,'liste reference'!$B$7:$B$904,0)),"",(MATCH(A23,'liste reference'!$B$7:$B$904,0))),(MATCH(A23,'liste reference'!$A$7:$A$904,0)))</f>
        <v>8</v>
      </c>
      <c r="AA23" s="496"/>
      <c r="AB23" s="497"/>
      <c r="AC23" s="497"/>
      <c r="BC23" s="284" t="n">
        <f aca="false">IF(A23="","",1)</f>
        <v>1</v>
      </c>
    </row>
    <row r="24" customFormat="false" ht="12.75" hidden="false" customHeight="false" outlineLevel="0" collapsed="false">
      <c r="A24" s="498" t="s">
        <v>78</v>
      </c>
      <c r="B24" s="499" t="n">
        <v>0.005</v>
      </c>
      <c r="C24" s="500" t="n">
        <v>0.01</v>
      </c>
      <c r="D24" s="501" t="str">
        <f aca="false">IF(ISERROR(VLOOKUP($A24,'liste reference'!$A$7:$D$904,2,0)),IF(ISERROR(VLOOKUP($A24,'liste reference'!$B$7:$D$904,1,0)),"",VLOOKUP($A24,'liste reference'!$B$7:$D$904,1,0)),VLOOKUP($A24,'liste reference'!$A$7:$D$904,2,0))</f>
        <v>Chaetophora sp.</v>
      </c>
      <c r="E24" s="501" t="e">
        <f aca="false">IF(D24="",0,VLOOKUP(D24,D$22:D23,1,0))</f>
        <v>#N/A</v>
      </c>
      <c r="F24" s="508" t="n">
        <f aca="false">($B24*$B$7+$C24*$C$7)/100</f>
        <v>0.00725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1117</v>
      </c>
      <c r="Q24" s="491" t="n">
        <f aca="false">IF(ISTEXT(H24),"",(B24*$B$7/100)+(C24*$C$7/100))</f>
        <v>0.00725</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X24" s="494"/>
      <c r="Y24" s="495" t="str">
        <f aca="false">IF(A24="new.cod","NEWCOD",IF(AND((Z24=""),ISTEXT(A24)),A24,IF(Z24="","",INDEX('liste reference'!$A$7:$A$904,Z24))))</f>
        <v>CHESPX</v>
      </c>
      <c r="Z24" s="284" t="n">
        <f aca="false">IF(ISERROR(MATCH(A24,'liste reference'!$A$7:$A$904,0)),IF(ISERROR(MATCH(A24,'liste reference'!$B$7:$B$904,0)),"",(MATCH(A24,'liste reference'!$B$7:$B$904,0))),(MATCH(A24,'liste reference'!$A$7:$A$904,0)))</f>
        <v>10</v>
      </c>
      <c r="AA24" s="496"/>
      <c r="AB24" s="497"/>
      <c r="AC24" s="497"/>
      <c r="BC24" s="284" t="n">
        <f aca="false">IF(A24="","",1)</f>
        <v>1</v>
      </c>
    </row>
    <row r="25" customFormat="false" ht="12.75" hidden="false" customHeight="false" outlineLevel="0" collapsed="false">
      <c r="A25" s="498" t="s">
        <v>123</v>
      </c>
      <c r="B25" s="499" t="n">
        <v>0.005</v>
      </c>
      <c r="C25" s="500" t="n">
        <v>0.02</v>
      </c>
      <c r="D25" s="501" t="str">
        <f aca="false">IF(ISERROR(VLOOKUP($A25,'liste reference'!$A$7:$D$904,2,0)),IF(ISERROR(VLOOKUP($A25,'liste reference'!$B$7:$D$904,1,0)),"",VLOOKUP($A25,'liste reference'!$B$7:$D$904,1,0)),VLOOKUP($A25,'liste reference'!$A$7:$D$904,2,0))</f>
        <v>Cladophora sp.</v>
      </c>
      <c r="E25" s="501" t="e">
        <f aca="false">IF(D25="",0,VLOOKUP(D25,D$22:D24,1,0))</f>
        <v>#N/A</v>
      </c>
      <c r="F25" s="508" t="n">
        <f aca="false">($B25*$B$7+$C25*$C$7)/100</f>
        <v>0.01175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6</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1124</v>
      </c>
      <c r="Q25" s="491" t="n">
        <f aca="false">IF(ISTEXT(H25),"",(B25*$B$7/100)+(C25*$C$7/100))</f>
        <v>0.01175</v>
      </c>
      <c r="R25" s="492" t="n">
        <f aca="false">IF(OR(ISTEXT(H25),Q25=0),"",IF(Q25&lt;0.1,1,IF(Q25&lt;1,2,IF(Q25&lt;10,3,IF(Q25&lt;50,4,IF(Q25&gt;=50,5,""))))))</f>
        <v>1</v>
      </c>
      <c r="S25" s="492" t="n">
        <f aca="false">IF(ISERROR(R25*I25),0,R25*I25)</f>
        <v>6</v>
      </c>
      <c r="T25" s="492" t="n">
        <f aca="false">IF(ISERROR(R25*I25*J25),0,R25*I25*J25)</f>
        <v>6</v>
      </c>
      <c r="U25" s="506" t="n">
        <f aca="false">IF(ISERROR(R25*J25),0,R25*J25)</f>
        <v>1</v>
      </c>
      <c r="V25" s="493" t="n">
        <v>1</v>
      </c>
      <c r="W25" s="494"/>
      <c r="Y25" s="495" t="str">
        <f aca="false">IF(A25="new.cod","NEWCOD",IF(AND((Z25=""),ISTEXT(A25)),A25,IF(Z25="","",INDEX('liste reference'!$A$7:$A$904,Z25))))</f>
        <v>CLASPX</v>
      </c>
      <c r="Z25" s="284" t="n">
        <f aca="false">IF(ISERROR(MATCH(A25,'liste reference'!$A$7:$A$904,0)),IF(ISERROR(MATCH(A25,'liste reference'!$B$7:$B$904,0)),"",(MATCH(A25,'liste reference'!$B$7:$B$904,0))),(MATCH(A25,'liste reference'!$A$7:$A$904,0)))</f>
        <v>24</v>
      </c>
      <c r="AA25" s="496"/>
      <c r="AB25" s="497"/>
      <c r="AC25" s="497"/>
      <c r="BC25" s="284" t="n">
        <f aca="false">IF(A25="","",1)</f>
        <v>1</v>
      </c>
    </row>
    <row r="26" customFormat="false" ht="12.75" hidden="false" customHeight="false" outlineLevel="0" collapsed="false">
      <c r="A26" s="498" t="s">
        <v>221</v>
      </c>
      <c r="B26" s="499"/>
      <c r="C26" s="500" t="n">
        <v>0.005</v>
      </c>
      <c r="D26" s="501" t="str">
        <f aca="false">IF(ISERROR(VLOOKUP($A26,'liste reference'!$A$7:$D$904,2,0)),IF(ISERROR(VLOOKUP($A26,'liste reference'!$B$7:$D$904,1,0)),"",VLOOKUP($A26,'liste reference'!$B$7:$D$904,1,0)),VLOOKUP($A26,'liste reference'!$A$7:$D$904,2,0))</f>
        <v>Nostoc sp.</v>
      </c>
      <c r="E26" s="501" t="e">
        <f aca="false">IF(D26="",0,VLOOKUP(D26,D$22:D25,1,0))</f>
        <v>#N/A</v>
      </c>
      <c r="F26" s="508" t="n">
        <f aca="false">($B26*$B$7+$C26*$C$7)/100</f>
        <v>0.00225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9</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1105</v>
      </c>
      <c r="Q26" s="491" t="n">
        <f aca="false">IF(ISTEXT(H26),"",(B26*$B$7/100)+(C26*$C$7/100))</f>
        <v>0.00225</v>
      </c>
      <c r="R26" s="492" t="n">
        <f aca="false">IF(OR(ISTEXT(H26),Q26=0),"",IF(Q26&lt;0.1,1,IF(Q26&lt;1,2,IF(Q26&lt;10,3,IF(Q26&lt;50,4,IF(Q26&gt;=50,5,""))))))</f>
        <v>1</v>
      </c>
      <c r="S26" s="492" t="n">
        <f aca="false">IF(ISERROR(R26*I26),0,R26*I26)</f>
        <v>9</v>
      </c>
      <c r="T26" s="492" t="n">
        <f aca="false">IF(ISERROR(R26*I26*J26),0,R26*I26*J26)</f>
        <v>9</v>
      </c>
      <c r="U26" s="506" t="n">
        <f aca="false">IF(ISERROR(R26*J26),0,R26*J26)</f>
        <v>1</v>
      </c>
      <c r="V26" s="493" t="n">
        <v>1</v>
      </c>
      <c r="W26" s="494"/>
      <c r="Y26" s="495" t="str">
        <f aca="false">IF(A26="new.cod","NEWCOD",IF(AND((Z26=""),ISTEXT(A26)),A26,IF(Z26="","",INDEX('liste reference'!$A$7:$A$904,Z26))))</f>
        <v>NOSSPX</v>
      </c>
      <c r="Z26" s="284" t="n">
        <f aca="false">IF(ISERROR(MATCH(A26,'liste reference'!$A$7:$A$904,0)),IF(ISERROR(MATCH(A26,'liste reference'!$B$7:$B$904,0)),"",(MATCH(A26,'liste reference'!$B$7:$B$904,0))),(MATCH(A26,'liste reference'!$A$7:$A$904,0)))</f>
        <v>55</v>
      </c>
      <c r="AA26" s="496"/>
      <c r="AB26" s="497"/>
      <c r="AC26" s="497"/>
      <c r="BC26" s="284" t="n">
        <f aca="false">IF(A26="","",1)</f>
        <v>1</v>
      </c>
    </row>
    <row r="27" customFormat="false" ht="12.75" hidden="false" customHeight="false" outlineLevel="0" collapsed="false">
      <c r="A27" s="498" t="s">
        <v>224</v>
      </c>
      <c r="B27" s="499"/>
      <c r="C27" s="500" t="n">
        <v>0.005</v>
      </c>
      <c r="D27" s="501" t="str">
        <f aca="false">IF(ISERROR(VLOOKUP($A27,'liste reference'!$A$7:$D$904,2,0)),IF(ISERROR(VLOOKUP($A27,'liste reference'!$B$7:$D$904,1,0)),"",VLOOKUP($A27,'liste reference'!$B$7:$D$904,1,0)),VLOOKUP($A27,'liste reference'!$A$7:$D$904,2,0))</f>
        <v>Oedogonium sp.</v>
      </c>
      <c r="E27" s="501" t="e">
        <f aca="false">IF(D27="",0,VLOOKUP(D27,D$22:D26,1,0))</f>
        <v>#N/A</v>
      </c>
      <c r="F27" s="508" t="n">
        <f aca="false">($B27*$B$7+$C27*$C$7)/100</f>
        <v>0.00225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6</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1134</v>
      </c>
      <c r="Q27" s="491" t="n">
        <f aca="false">IF(ISTEXT(H27),"",(B27*$B$7/100)+(C27*$C$7/100))</f>
        <v>0.00225</v>
      </c>
      <c r="R27" s="492" t="n">
        <f aca="false">IF(OR(ISTEXT(H27),Q27=0),"",IF(Q27&lt;0.1,1,IF(Q27&lt;1,2,IF(Q27&lt;10,3,IF(Q27&lt;50,4,IF(Q27&gt;=50,5,""))))))</f>
        <v>1</v>
      </c>
      <c r="S27" s="492" t="n">
        <f aca="false">IF(ISERROR(R27*I27),0,R27*I27)</f>
        <v>6</v>
      </c>
      <c r="T27" s="492" t="n">
        <f aca="false">IF(ISERROR(R27*I27*J27),0,R27*I27*J27)</f>
        <v>12</v>
      </c>
      <c r="U27" s="506" t="n">
        <f aca="false">IF(ISERROR(R27*J27),0,R27*J27)</f>
        <v>2</v>
      </c>
      <c r="V27" s="493" t="n">
        <v>2</v>
      </c>
      <c r="W27" s="494"/>
      <c r="Y27" s="495" t="str">
        <f aca="false">IF(A27="new.cod","NEWCOD",IF(AND((Z27=""),ISTEXT(A27)),A27,IF(Z27="","",INDEX('liste reference'!$A$7:$A$904,Z27))))</f>
        <v>OEDSPX</v>
      </c>
      <c r="Z27" s="284" t="n">
        <f aca="false">IF(ISERROR(MATCH(A27,'liste reference'!$A$7:$A$904,0)),IF(ISERROR(MATCH(A27,'liste reference'!$B$7:$B$904,0)),"",(MATCH(A27,'liste reference'!$B$7:$B$904,0))),(MATCH(A27,'liste reference'!$A$7:$A$904,0)))</f>
        <v>56</v>
      </c>
      <c r="AA27" s="496"/>
      <c r="AB27" s="497"/>
      <c r="AC27" s="497"/>
      <c r="BC27" s="284" t="n">
        <f aca="false">IF(A27="","",1)</f>
        <v>1</v>
      </c>
    </row>
    <row r="28" customFormat="false" ht="12.75" hidden="false" customHeight="false" outlineLevel="0" collapsed="false">
      <c r="A28" s="498" t="s">
        <v>259</v>
      </c>
      <c r="B28" s="499"/>
      <c r="C28" s="500" t="n">
        <v>0.02</v>
      </c>
      <c r="D28" s="501" t="str">
        <f aca="false">IF(ISERROR(VLOOKUP($A28,'liste reference'!$A$7:$D$904,2,0)),IF(ISERROR(VLOOKUP($A28,'liste reference'!$B$7:$D$904,1,0)),"",VLOOKUP($A28,'liste reference'!$B$7:$D$904,1,0)),VLOOKUP($A28,'liste reference'!$A$7:$D$904,2,0))</f>
        <v>Spirogyra sp.</v>
      </c>
      <c r="E28" s="501" t="e">
        <f aca="false">IF(D28="",0,VLOOKUP(D28,D$22:D27,1,0))</f>
        <v>#N/A</v>
      </c>
      <c r="F28" s="508" t="n">
        <f aca="false">($B28*$B$7+$C28*$C$7)/100</f>
        <v>0.009</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10</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1147</v>
      </c>
      <c r="Q28" s="491" t="n">
        <f aca="false">IF(ISTEXT(H28),"",(B28*$B$7/100)+(C28*$C$7/100))</f>
        <v>0.009</v>
      </c>
      <c r="R28" s="492" t="n">
        <f aca="false">IF(OR(ISTEXT(H28),Q28=0),"",IF(Q28&lt;0.1,1,IF(Q28&lt;1,2,IF(Q28&lt;10,3,IF(Q28&lt;50,4,IF(Q28&gt;=50,5,""))))))</f>
        <v>1</v>
      </c>
      <c r="S28" s="492" t="n">
        <f aca="false">IF(ISERROR(R28*I28),0,R28*I28)</f>
        <v>10</v>
      </c>
      <c r="T28" s="492" t="n">
        <f aca="false">IF(ISERROR(R28*I28*J28),0,R28*I28*J28)</f>
        <v>10</v>
      </c>
      <c r="U28" s="506" t="n">
        <f aca="false">IF(ISERROR(R28*J28),0,R28*J28)</f>
        <v>1</v>
      </c>
      <c r="V28" s="493" t="n">
        <v>1</v>
      </c>
      <c r="W28" s="494"/>
      <c r="Y28" s="495" t="str">
        <f aca="false">IF(A28="new.cod","NEWCOD",IF(AND((Z28=""),ISTEXT(A28)),A28,IF(Z28="","",INDEX('liste reference'!$A$7:$A$904,Z28))))</f>
        <v>SPISPX</v>
      </c>
      <c r="Z28" s="284" t="n">
        <f aca="false">IF(ISERROR(MATCH(A28,'liste reference'!$A$7:$A$904,0)),IF(ISERROR(MATCH(A28,'liste reference'!$B$7:$B$904,0)),"",(MATCH(A28,'liste reference'!$B$7:$B$904,0))),(MATCH(A28,'liste reference'!$A$7:$A$904,0)))</f>
        <v>70</v>
      </c>
      <c r="AA28" s="496"/>
      <c r="AB28" s="497"/>
      <c r="AC28" s="497"/>
      <c r="BC28" s="284" t="n">
        <f aca="false">IF(A28="","",1)</f>
        <v>1</v>
      </c>
    </row>
    <row r="29" customFormat="false" ht="12.75" hidden="false" customHeight="false" outlineLevel="0" collapsed="false">
      <c r="A29" s="498" t="s">
        <v>514</v>
      </c>
      <c r="B29" s="499"/>
      <c r="C29" s="500" t="n">
        <v>0.005</v>
      </c>
      <c r="D29" s="501" t="str">
        <f aca="false">IF(ISERROR(VLOOKUP($A29,'liste reference'!$A$7:$D$904,2,0)),IF(ISERROR(VLOOKUP($A29,'liste reference'!$B$7:$D$904,1,0)),"",VLOOKUP($A29,'liste reference'!$B$7:$D$904,1,0)),VLOOKUP($A29,'liste reference'!$A$7:$D$904,2,0))</f>
        <v>Pellia endiviifolia</v>
      </c>
      <c r="E29" s="501" t="e">
        <f aca="false">IF(D29="",0,VLOOKUP(D29,D$22:D28,1,0))</f>
        <v>#N/A</v>
      </c>
      <c r="F29" s="508" t="n">
        <f aca="false">($B29*$B$7+$C29*$C$7)/100</f>
        <v>0.00225</v>
      </c>
      <c r="G29" s="503" t="str">
        <f aca="false">IF(A29="","",IF(ISERROR(VLOOKUP($A29,'liste reference'!$A$7:$P$904,13,0)),IF(ISERROR(VLOOKUP($A29,'liste reference'!$B$7:$P$904,12,0)),"    -",VLOOKUP($A29,'liste reference'!$B$7:$P$904,12,0)),VLOOKUP($A29,'liste reference'!$A$7:$P$904,13,0)))</f>
        <v>BRh</v>
      </c>
      <c r="H29" s="484" t="n">
        <f aca="false">IF(A29="","x",IF(ISERROR(VLOOKUP($A29,'liste reference'!$A$7:$P$904,14,0)),IF(ISERROR(VLOOKUP($A29,'liste reference'!$B$7:$P$904,13,0)),"x",VLOOKUP($A29,'liste reference'!$B$7:$P$904,13,0)),VLOOKUP($A29,'liste reference'!$A$7:$P$904,14,0)))</f>
        <v>4</v>
      </c>
      <c r="I29" s="504" t="n">
        <f aca="false">IF(ISNUMBER(H29),IF(ISERROR(VLOOKUP($A29,'liste reference'!$A$7:$P$904,3,0)),IF(ISERROR(VLOOKUP($A29,'liste reference'!$B$7:$P$904,2,0)),"",VLOOKUP($A29,'liste reference'!$B$7:$P$904,2,0)),VLOOKUP($A29,'liste reference'!$A$7:$P$904,3,0)),"")</f>
        <v>0</v>
      </c>
      <c r="J29" s="486" t="n">
        <f aca="false">IF(ISNUMBER(H29),IF(ISERROR(VLOOKUP($A29,'liste reference'!$A$7:$P$904,4,0)),IF(ISERROR(VLOOKUP($A29,'liste reference'!$B$7:$P$904,3,0)),"",VLOOKUP($A29,'liste reference'!$B$7:$P$904,3,0)),VLOOKUP($A29,'liste reference'!$A$7:$P$904,4,0)),"")</f>
        <v>0</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Pellia endiviifolia</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1197</v>
      </c>
      <c r="Q29" s="491" t="n">
        <f aca="false">IF(ISTEXT(H29),"",(B29*$B$7/100)+(C29*$C$7/100))</f>
        <v>0.00225</v>
      </c>
      <c r="R29" s="492" t="n">
        <f aca="false">IF(OR(ISTEXT(H29),Q29=0),"",IF(Q29&lt;0.1,1,IF(Q29&lt;1,2,IF(Q29&lt;10,3,IF(Q29&lt;50,4,IF(Q29&gt;=50,5,""))))))</f>
        <v>1</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PELEND</v>
      </c>
      <c r="Z29" s="284" t="n">
        <f aca="false">IF(ISERROR(MATCH(A29,'liste reference'!$A$7:$A$904,0)),IF(ISERROR(MATCH(A29,'liste reference'!$B$7:$B$904,0)),"",(MATCH(A29,'liste reference'!$B$7:$B$904,0))),(MATCH(A29,'liste reference'!$A$7:$A$904,0)))</f>
        <v>121</v>
      </c>
      <c r="AA29" s="496"/>
      <c r="AB29" s="497"/>
      <c r="AC29" s="497"/>
      <c r="BC29" s="284" t="n">
        <f aca="false">IF(A29="","",1)</f>
        <v>1</v>
      </c>
    </row>
    <row r="30" customFormat="false" ht="12.75" hidden="false" customHeight="false" outlineLevel="0" collapsed="false">
      <c r="A30" s="498" t="s">
        <v>889</v>
      </c>
      <c r="B30" s="499"/>
      <c r="C30" s="500" t="n">
        <v>0.005</v>
      </c>
      <c r="D30" s="501" t="str">
        <f aca="false">IF(ISERROR(VLOOKUP($A30,'liste reference'!$A$7:$D$904,2,0)),IF(ISERROR(VLOOKUP($A30,'liste reference'!$B$7:$D$904,1,0)),"",VLOOKUP($A30,'liste reference'!$B$7:$D$904,1,0)),VLOOKUP($A30,'liste reference'!$A$7:$D$904,2,0))</f>
        <v>Fissidens sp.</v>
      </c>
      <c r="E30" s="501" t="e">
        <f aca="false">IF(D30="",0,VLOOKUP(D30,D$22:D29,1,0))</f>
        <v>#N/A</v>
      </c>
      <c r="F30" s="508" t="n">
        <f aca="false">($B30*$B$7+$C30*$C$7)/100</f>
        <v>0.00225</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0</v>
      </c>
      <c r="J30" s="486" t="n">
        <f aca="false">IF(ISNUMBER(H30),IF(ISERROR(VLOOKUP($A30,'liste reference'!$A$7:$P$904,4,0)),IF(ISERROR(VLOOKUP($A30,'liste reference'!$B$7:$P$904,3,0)),"",VLOOKUP($A30,'liste reference'!$B$7:$P$904,3,0)),VLOOKUP($A30,'liste reference'!$A$7:$P$904,4,0)),"")</f>
        <v>0</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1292</v>
      </c>
      <c r="Q30" s="491" t="n">
        <f aca="false">IF(ISTEXT(H30),"",(B30*$B$7/100)+(C30*$C$7/100))</f>
        <v>0.00225</v>
      </c>
      <c r="R30" s="492" t="n">
        <f aca="false">IF(OR(ISTEXT(H30),Q30=0),"",IF(Q30&lt;0.1,1,IF(Q30&lt;1,2,IF(Q30&lt;10,3,IF(Q30&lt;50,4,IF(Q30&gt;=50,5,""))))))</f>
        <v>1</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FISSPX</v>
      </c>
      <c r="Z30" s="284" t="n">
        <f aca="false">IF(ISERROR(MATCH(A30,'liste reference'!$A$7:$A$904,0)),IF(ISERROR(MATCH(A30,'liste reference'!$B$7:$B$904,0)),"",(MATCH(A30,'liste reference'!$B$7:$B$904,0))),(MATCH(A30,'liste reference'!$A$7:$A$904,0)))</f>
        <v>208</v>
      </c>
      <c r="AA30" s="496"/>
      <c r="AB30" s="497"/>
      <c r="AC30" s="497"/>
      <c r="BC30" s="284" t="n">
        <f aca="false">IF(A30="","",1)</f>
        <v>1</v>
      </c>
    </row>
    <row r="31" customFormat="false" ht="12.75" hidden="false" customHeight="false" outlineLevel="0" collapsed="false">
      <c r="A31" s="498" t="s">
        <v>935</v>
      </c>
      <c r="B31" s="499"/>
      <c r="C31" s="500" t="n">
        <v>0.1</v>
      </c>
      <c r="D31" s="501" t="str">
        <f aca="false">IF(ISERROR(VLOOKUP($A31,'liste reference'!$A$7:$D$904,2,0)),IF(ISERROR(VLOOKUP($A31,'liste reference'!$B$7:$D$904,1,0)),"",VLOOKUP($A31,'liste reference'!$B$7:$D$904,1,0)),VLOOKUP($A31,'liste reference'!$A$7:$D$904,2,0))</f>
        <v>Hygrohypnum luridum</v>
      </c>
      <c r="E31" s="501" t="e">
        <f aca="false">IF(D31="",0,VLOOKUP(D31,D$22:D30,1,0))</f>
        <v>#N/A</v>
      </c>
      <c r="F31" s="508" t="n">
        <f aca="false">($B31*$B$7+$C31*$C$7)/100</f>
        <v>0.045</v>
      </c>
      <c r="G31" s="503" t="str">
        <f aca="false">IF(A31="","",IF(ISERROR(VLOOKUP($A31,'liste reference'!$A$7:$P$904,13,0)),IF(ISERROR(VLOOKUP($A31,'liste reference'!$B$7:$P$904,12,0)),"    -",VLOOKUP($A31,'liste reference'!$B$7:$P$904,12,0)),VLOOKUP($A31,'liste reference'!$A$7:$P$904,13,0)))</f>
        <v>BRm</v>
      </c>
      <c r="H31" s="484" t="n">
        <f aca="false">IF(A31="","x",IF(ISERROR(VLOOKUP($A31,'liste reference'!$A$7:$P$904,14,0)),IF(ISERROR(VLOOKUP($A31,'liste reference'!$B$7:$P$904,13,0)),"x",VLOOKUP($A31,'liste reference'!$B$7:$P$904,13,0)),VLOOKUP($A31,'liste reference'!$A$7:$P$904,14,0)))</f>
        <v>5</v>
      </c>
      <c r="I31" s="504" t="n">
        <f aca="false">IF(ISNUMBER(H31),IF(ISERROR(VLOOKUP($A31,'liste reference'!$A$7:$P$904,3,0)),IF(ISERROR(VLOOKUP($A31,'liste reference'!$B$7:$P$904,2,0)),"",VLOOKUP($A31,'liste reference'!$B$7:$P$904,2,0)),VLOOKUP($A31,'liste reference'!$A$7:$P$904,3,0)),"")</f>
        <v>19</v>
      </c>
      <c r="J31" s="486" t="n">
        <f aca="false">IF(ISNUMBER(H31),IF(ISERROR(VLOOKUP($A31,'liste reference'!$A$7:$P$904,4,0)),IF(ISERROR(VLOOKUP($A31,'liste reference'!$B$7:$P$904,3,0)),"",VLOOKUP($A31,'liste reference'!$B$7:$P$904,3,0)),VLOOKUP($A31,'liste reference'!$A$7:$P$904,4,0)),"")</f>
        <v>3</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Hygrohypnum luridum</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1240</v>
      </c>
      <c r="Q31" s="491" t="n">
        <f aca="false">IF(ISTEXT(H31),"",(B31*$B$7/100)+(C31*$C$7/100))</f>
        <v>0.045</v>
      </c>
      <c r="R31" s="492" t="n">
        <f aca="false">IF(OR(ISTEXT(H31),Q31=0),"",IF(Q31&lt;0.1,1,IF(Q31&lt;1,2,IF(Q31&lt;10,3,IF(Q31&lt;50,4,IF(Q31&gt;=50,5,""))))))</f>
        <v>1</v>
      </c>
      <c r="S31" s="492" t="n">
        <f aca="false">IF(ISERROR(R31*I31),0,R31*I31)</f>
        <v>19</v>
      </c>
      <c r="T31" s="492" t="n">
        <f aca="false">IF(ISERROR(R31*I31*J31),0,R31*I31*J31)</f>
        <v>57</v>
      </c>
      <c r="U31" s="506" t="n">
        <f aca="false">IF(ISERROR(R31*J31),0,R31*J31)</f>
        <v>3</v>
      </c>
      <c r="V31" s="493" t="n">
        <v>3</v>
      </c>
      <c r="W31" s="494"/>
      <c r="Y31" s="495" t="str">
        <f aca="false">IF(A31="new.cod","NEWCOD",IF(AND((Z31=""),ISTEXT(A31)),A31,IF(Z31="","",INDEX('liste reference'!$A$7:$A$904,Z31))))</f>
        <v>HYGLUR</v>
      </c>
      <c r="Z31" s="284" t="n">
        <f aca="false">IF(ISERROR(MATCH(A31,'liste reference'!$A$7:$A$904,0)),IF(ISERROR(MATCH(A31,'liste reference'!$B$7:$B$904,0)),"",(MATCH(A31,'liste reference'!$B$7:$B$904,0))),(MATCH(A31,'liste reference'!$A$7:$A$904,0)))</f>
        <v>220</v>
      </c>
      <c r="AA31" s="496"/>
      <c r="AB31" s="497"/>
      <c r="AC31" s="497"/>
      <c r="BC31" s="284" t="n">
        <f aca="false">IF(A31="","",1)</f>
        <v>1</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t="s">
        <v>2720</v>
      </c>
      <c r="B63" s="499" t="n">
        <v>0.005</v>
      </c>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0.00275</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Leptolyngbya</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507"/>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2721</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Jabron</v>
      </c>
      <c r="B84" s="531" t="str">
        <f aca="false">C3</f>
        <v>Comps sur Artuby</v>
      </c>
      <c r="C84" s="532" t="n">
        <f aca="false">A4</f>
        <v>41081</v>
      </c>
      <c r="D84" s="533" t="n">
        <f aca="false">IF(ISERROR(SUM($T$23:$T$82)/SUM($U$23:$U$82)),"",SUM($T$23:$T$82)/SUM($U$23:$U$82))</f>
        <v>12.5</v>
      </c>
      <c r="E84" s="534" t="n">
        <f aca="false">N13</f>
        <v>10</v>
      </c>
      <c r="F84" s="531" t="n">
        <f aca="false">N14</f>
        <v>9</v>
      </c>
      <c r="G84" s="531" t="n">
        <f aca="false">N15</f>
        <v>3</v>
      </c>
      <c r="H84" s="531" t="n">
        <f aca="false">N16</f>
        <v>3</v>
      </c>
      <c r="I84" s="531" t="n">
        <f aca="false">N17</f>
        <v>1</v>
      </c>
      <c r="J84" s="535" t="n">
        <f aca="false">N8</f>
        <v>8.66666666666667</v>
      </c>
      <c r="K84" s="533" t="n">
        <f aca="false">N9</f>
        <v>6.5</v>
      </c>
      <c r="L84" s="534" t="n">
        <f aca="false">N10</f>
        <v>0</v>
      </c>
      <c r="M84" s="534" t="n">
        <f aca="false">N11</f>
        <v>19</v>
      </c>
      <c r="N84" s="533" t="n">
        <f aca="false">O8</f>
        <v>1.33333333333333</v>
      </c>
      <c r="O84" s="533" t="n">
        <f aca="false">O9</f>
        <v>1</v>
      </c>
      <c r="P84" s="534"/>
      <c r="Q84" s="534" t="n">
        <f aca="false">O10</f>
        <v>0</v>
      </c>
      <c r="R84" s="534" t="n">
        <f aca="false">O11</f>
        <v>3</v>
      </c>
      <c r="S84" s="536" t="n">
        <f aca="false">F21</f>
        <v>0.08975</v>
      </c>
      <c r="T84" s="534" t="n">
        <f aca="false">K11</f>
        <v>0</v>
      </c>
      <c r="U84" s="534" t="n">
        <f aca="false">K12</f>
        <v>6</v>
      </c>
      <c r="V84" s="534" t="n">
        <f aca="false">K13</f>
        <v>3</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19</v>
      </c>
      <c r="T87" s="284"/>
      <c r="U87" s="284"/>
      <c r="V87" s="284"/>
    </row>
    <row r="88" customFormat="false" ht="12.75" hidden="true" customHeight="false" outlineLevel="0" collapsed="false">
      <c r="P88" s="284"/>
      <c r="Q88" s="284" t="s">
        <v>2700</v>
      </c>
      <c r="R88" s="284"/>
      <c r="S88" s="493" t="n">
        <f aca="false">VLOOKUP((S87),($S$23:$U$82),2,0)</f>
        <v>57</v>
      </c>
      <c r="T88" s="284"/>
      <c r="U88" s="284"/>
      <c r="V88" s="284"/>
    </row>
    <row r="89" customFormat="false" ht="12.75" hidden="false" customHeight="false" outlineLevel="0" collapsed="false">
      <c r="Q89" s="284" t="s">
        <v>2701</v>
      </c>
      <c r="R89" s="284"/>
      <c r="S89" s="493" t="n">
        <f aca="false">VLOOKUP((S87),($S$23:$U$82),3,0)</f>
        <v>3</v>
      </c>
      <c r="T89" s="284"/>
    </row>
    <row r="90" customFormat="false" ht="12.75" hidden="false" customHeight="false" outlineLevel="0" collapsed="false">
      <c r="Q90" s="284" t="s">
        <v>2702</v>
      </c>
      <c r="R90" s="284"/>
      <c r="S90" s="541" t="n">
        <f aca="false">IF(ISERROR(SUM($T$23:$T$82)/SUM($U$23:$U$82)),"",(SUM($T$23:$T$82)-S88)/(SUM($U$23:$U$82)-S89))</f>
        <v>10.3333333333333</v>
      </c>
      <c r="T90" s="284"/>
    </row>
    <row r="91" customFormat="false" ht="12.75" hidden="false" customHeight="false" outlineLevel="0" collapsed="false">
      <c r="Q91" s="492" t="s">
        <v>2703</v>
      </c>
      <c r="R91" s="492"/>
      <c r="S91" s="492" t="str">
        <f aca="false">INDEX('liste reference'!$A$7:$A$904,$T$91)</f>
        <v>HYGLUR</v>
      </c>
      <c r="T91" s="284" t="n">
        <f aca="false">IF(ISERROR(MATCH($S$93,'liste reference'!$A$7:$A$904,0)),MATCH($S$93,'liste reference'!$B$7:$B$904,0),(MATCH($S$93,'liste reference'!$A$7:$A$904,0)))</f>
        <v>220</v>
      </c>
      <c r="U91" s="529"/>
    </row>
    <row r="92" customFormat="false" ht="12.75" hidden="false" customHeight="false" outlineLevel="0" collapsed="false">
      <c r="Q92" s="284" t="s">
        <v>2704</v>
      </c>
      <c r="R92" s="284"/>
      <c r="S92" s="284" t="n">
        <f aca="false">MATCH(S87,$S$23:$S$82,0)</f>
        <v>9</v>
      </c>
      <c r="T92" s="284"/>
    </row>
    <row r="93" customFormat="false" ht="12.75" hidden="false" customHeight="false" outlineLevel="0" collapsed="false">
      <c r="Q93" s="492" t="s">
        <v>2705</v>
      </c>
      <c r="R93" s="284"/>
      <c r="S93" s="492" t="str">
        <f aca="false">INDEX($A$23:$A$82,$S$92)</f>
        <v>HYGLUR</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2722</v>
      </c>
      <c r="B1" s="552"/>
      <c r="C1" s="552"/>
      <c r="D1" s="552"/>
    </row>
    <row r="2" customFormat="false" ht="15" hidden="false" customHeight="false" outlineLevel="0" collapsed="false">
      <c r="A2" s="553" t="s">
        <v>2723</v>
      </c>
      <c r="B2" s="554"/>
      <c r="C2" s="555"/>
      <c r="D2" s="555"/>
    </row>
    <row r="3" customFormat="false" ht="15.75" hidden="false" customHeight="false" outlineLevel="0" collapsed="false">
      <c r="A3" s="553" t="s">
        <v>2724</v>
      </c>
      <c r="B3" s="554"/>
      <c r="C3" s="555"/>
      <c r="D3" s="556" t="s">
        <v>2725</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2726</v>
      </c>
      <c r="G15" s="574"/>
      <c r="H15" s="575" t="s">
        <v>2727</v>
      </c>
      <c r="I15" s="574"/>
    </row>
    <row r="16" customFormat="false" ht="12.75" hidden="false" customHeight="false" outlineLevel="0" collapsed="false">
      <c r="A16" s="570" t="s">
        <v>1722</v>
      </c>
      <c r="B16" s="569" t="s">
        <v>1723</v>
      </c>
      <c r="C16" s="571"/>
      <c r="D16" s="572"/>
      <c r="F16" s="576" t="s">
        <v>2728</v>
      </c>
      <c r="G16" s="577"/>
      <c r="H16" s="576" t="s">
        <v>2728</v>
      </c>
      <c r="I16" s="578"/>
    </row>
    <row r="17" customFormat="false" ht="12.75" hidden="false" customHeight="false" outlineLevel="0" collapsed="false">
      <c r="A17" s="568" t="s">
        <v>2141</v>
      </c>
      <c r="B17" s="569" t="s">
        <v>2142</v>
      </c>
      <c r="C17" s="571"/>
      <c r="D17" s="572"/>
      <c r="F17" s="579" t="s">
        <v>2729</v>
      </c>
      <c r="G17" s="580"/>
      <c r="H17" s="579" t="s">
        <v>2729</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2730</v>
      </c>
      <c r="G19" s="580"/>
      <c r="H19" s="579" t="s">
        <v>2730</v>
      </c>
      <c r="I19" s="581"/>
    </row>
    <row r="20" customFormat="false" ht="12.75" hidden="false" customHeight="false" outlineLevel="0" collapsed="false">
      <c r="A20" s="570" t="s">
        <v>1728</v>
      </c>
      <c r="B20" s="569" t="s">
        <v>1729</v>
      </c>
      <c r="C20" s="571"/>
      <c r="D20" s="572"/>
      <c r="F20" s="579" t="s">
        <v>2731</v>
      </c>
      <c r="G20" s="580"/>
      <c r="H20" s="579" t="s">
        <v>2731</v>
      </c>
      <c r="I20" s="581"/>
    </row>
    <row r="21" customFormat="false" ht="12.75" hidden="false" customHeight="false" outlineLevel="0" collapsed="false">
      <c r="A21" s="570" t="s">
        <v>1734</v>
      </c>
      <c r="B21" s="569" t="s">
        <v>1735</v>
      </c>
      <c r="C21" s="571"/>
      <c r="D21" s="572"/>
      <c r="F21" s="579" t="s">
        <v>2732</v>
      </c>
      <c r="G21" s="580"/>
      <c r="H21" s="579" t="s">
        <v>2732</v>
      </c>
      <c r="I21" s="581"/>
    </row>
    <row r="22" customFormat="false" ht="12.75" hidden="false" customHeight="false" outlineLevel="0" collapsed="false">
      <c r="A22" s="568" t="s">
        <v>1740</v>
      </c>
      <c r="B22" s="569" t="s">
        <v>1741</v>
      </c>
      <c r="C22" s="571"/>
      <c r="D22" s="572"/>
      <c r="F22" s="579" t="s">
        <v>2733</v>
      </c>
      <c r="G22" s="580"/>
      <c r="H22" s="579" t="s">
        <v>2733</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2734</v>
      </c>
      <c r="G24" s="580"/>
      <c r="H24" s="579" t="s">
        <v>2734</v>
      </c>
      <c r="I24" s="581"/>
    </row>
    <row r="25" customFormat="false" ht="12.75" hidden="false" customHeight="false" outlineLevel="0" collapsed="false">
      <c r="A25" s="568" t="s">
        <v>2147</v>
      </c>
      <c r="B25" s="569" t="s">
        <v>2148</v>
      </c>
      <c r="C25" s="571"/>
      <c r="D25" s="572"/>
      <c r="F25" s="582" t="s">
        <v>2735</v>
      </c>
      <c r="G25" s="583"/>
      <c r="H25" s="582" t="s">
        <v>2735</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2736</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2737</v>
      </c>
    </row>
    <row r="34" customFormat="false" ht="12.75" hidden="false" customHeight="false" outlineLevel="0" collapsed="false">
      <c r="A34" s="568" t="s">
        <v>655</v>
      </c>
      <c r="B34" s="569" t="s">
        <v>656</v>
      </c>
      <c r="C34" s="571"/>
      <c r="D34" s="572"/>
      <c r="F34" s="586" t="s">
        <v>2738</v>
      </c>
    </row>
    <row r="35" customFormat="false" ht="12.75" hidden="false" customHeight="false" outlineLevel="0" collapsed="false">
      <c r="A35" s="568" t="s">
        <v>53</v>
      </c>
      <c r="B35" s="588" t="s">
        <v>54</v>
      </c>
      <c r="C35" s="571"/>
      <c r="D35" s="572"/>
      <c r="F35" s="589" t="s">
        <v>2739</v>
      </c>
    </row>
    <row r="36" customFormat="false" ht="12.75" hidden="false" customHeight="false" outlineLevel="0" collapsed="false">
      <c r="A36" s="570" t="s">
        <v>321</v>
      </c>
      <c r="B36" s="569" t="s">
        <v>322</v>
      </c>
      <c r="C36" s="571"/>
      <c r="D36" s="572"/>
      <c r="F36" s="589" t="s">
        <v>2740</v>
      </c>
    </row>
    <row r="37" customFormat="false" ht="12.75" hidden="false" customHeight="false" outlineLevel="0" collapsed="false">
      <c r="A37" s="568" t="s">
        <v>2156</v>
      </c>
      <c r="B37" s="569" t="s">
        <v>2741</v>
      </c>
      <c r="C37" s="571"/>
      <c r="D37" s="572"/>
      <c r="F37" s="587" t="s">
        <v>2742</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2743</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2744</v>
      </c>
      <c r="C96" s="571"/>
      <c r="D96" s="572"/>
    </row>
    <row r="97" customFormat="false" ht="12.75" hidden="false" customHeight="false" outlineLevel="0" collapsed="false">
      <c r="A97" s="568" t="s">
        <v>2745</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2746</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2747</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2748</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2749</v>
      </c>
      <c r="B406" s="569" t="s">
        <v>397</v>
      </c>
      <c r="C406" s="571"/>
      <c r="D406" s="572"/>
    </row>
    <row r="407" customFormat="false" ht="12.75" hidden="false" customHeight="false" outlineLevel="0" collapsed="false">
      <c r="A407" s="570" t="s">
        <v>404</v>
      </c>
      <c r="B407" s="569" t="s">
        <v>2750</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2751</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2752</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2753</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2012-09-28T15:29:46Z</dcterms:modified>
  <cp:revision>0</cp:revision>
  <dc:subject/>
  <dc:title>Feuille d'aide au calcul de l'IBMR</dc:title>
</cp:coreProperties>
</file>