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<sst xmlns="http://schemas.openxmlformats.org/spreadsheetml/2006/main" count="165" uniqueCount="100">
  <si>
    <t xml:space="preserve">Relevés floristiques aquatiques - IBMR</t>
  </si>
  <si>
    <t xml:space="preserve">modèle Irstea-GIS</t>
  </si>
  <si>
    <t xml:space="preserve">SAGE</t>
  </si>
  <si>
    <t xml:space="preserve">L. BOURGOIN C. BERNARD</t>
  </si>
  <si>
    <t xml:space="preserve">BERRE</t>
  </si>
  <si>
    <t xml:space="preserve">BERRE A VALAURIE</t>
  </si>
  <si>
    <t xml:space="preserve">06113270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</si>
  <si>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</si>
  <si>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</si>
  <si>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</si>
  <si>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</si>
  <si>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</si>
  <si>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</si>
  <si>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</si>
  <si>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</si>
  <si>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</si>
  <si>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</si>
  <si>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</si>
  <si>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pl. courant</t>
  </si>
  <si>
    <t xml:space="preserve">f. de dissipation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</si>
  <si>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</si>
  <si>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</si>
  <si>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</si>
  <si>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</si>
  <si>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</si>
  <si>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</si>
  <si>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</si>
  <si>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</si>
  <si>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</si>
  <si>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</si>
  <si>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</si>
  <si>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</si>
  <si>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</si>
  <si>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</si>
  <si>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</si>
  <si>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</si>
  <si>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</si>
  <si>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</si>
  <si>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</si>
  <si>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</si>
  <si>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</si>
  <si>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</si>
  <si>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</si>
  <si>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</si>
  <si>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</si>
  <si>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</si>
  <si>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</si>
  <si>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</si>
  <si>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</si>
  <si>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</si>
  <si>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</si>
  <si>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</si>
  <si>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</si>
  <si>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</si>
  <si>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</si>
  <si>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</si>
  <si>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</si>
  <si>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</si>
  <si>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</si>
  <si>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</si>
  <si>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</si>
  <si>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</si>
  <si>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</si>
  <si>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</si>
  <si>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</si>
  <si>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</si>
  <si>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</si>
  <si>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</si>
  <si>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</si>
  <si>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</si>
  <si>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</si>
  <si>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</si>
  <si>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</si>
  <si>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</si>
  <si>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</si>
  <si>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</si>
  <si>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</si>
  <si>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</si>
  <si>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</si>
  <si>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</si>
  <si>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MICSPX</t>
  </si>
  <si>
    <t xml:space="preserve">NOSSPX</t>
  </si>
  <si>
    <t xml:space="preserve">VAUSPX</t>
  </si>
  <si>
    <t xml:space="preserve">CHIPOL</t>
  </si>
  <si>
    <t xml:space="preserve">PELEND</t>
  </si>
  <si>
    <t xml:space="preserve">HYATEN</t>
  </si>
  <si>
    <t xml:space="preserve">LEORIP</t>
  </si>
  <si>
    <t xml:space="preserve">RHYRIP</t>
  </si>
  <si>
    <t xml:space="preserve">EQUSPX</t>
  </si>
  <si>
    <t xml:space="preserve">AGRSTO</t>
  </si>
  <si>
    <t xml:space="preserve">PHRAUS</t>
  </si>
  <si>
    <t xml:space="preserve">VERANA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</si>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</sst>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BEGRA_20-05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42144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10.7037037037037</v>
      </c>
      <c r="N5" s="51"/>
      <c r="O5" s="52" t="s">
        <v>16</v>
      </c>
      <c r="P5" s="53" t="n">
        <v>10.3333333333333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90</v>
      </c>
      <c r="C7" s="69" t="n">
        <v>10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10</v>
      </c>
      <c r="P8" s="83" t="n">
        <f aca="false">IF(ISERROR(AVERAGE(K23:K82)),"  ",AVERAGE(K23:K82))</f>
        <v>1.58333333333333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9.14</v>
      </c>
      <c r="C9" s="86" t="n">
        <v>3.11</v>
      </c>
      <c r="D9" s="87"/>
      <c r="E9" s="87"/>
      <c r="F9" s="88" t="n">
        <f aca="false">($B9*$B$7+$C9*$C$7)/100</f>
        <v>8.537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3.43996124009172</v>
      </c>
      <c r="P9" s="83" t="n">
        <f aca="false">IF(ISERROR(STDEVP(K23:K82)),"  ",STDEVP(K23:K82))</f>
        <v>0.493006648591635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/>
      <c r="C10" s="94"/>
      <c r="D10" s="87"/>
      <c r="E10" s="87"/>
      <c r="F10" s="88"/>
      <c r="G10" s="89"/>
      <c r="H10" s="57"/>
      <c r="I10" s="8"/>
      <c r="J10" s="95"/>
      <c r="K10" s="96" t="s">
        <v>31</v>
      </c>
      <c r="L10" s="97"/>
      <c r="M10" s="98"/>
      <c r="N10" s="82" t="s">
        <v>32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33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34</v>
      </c>
      <c r="K11" s="106"/>
      <c r="L11" s="107" t="n">
        <f aca="false">COUNTIF($G$23:$G$82,"=HET")</f>
        <v>0</v>
      </c>
      <c r="M11" s="108"/>
      <c r="N11" s="82" t="s">
        <v>35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36</v>
      </c>
      <c r="B12" s="110" t="n">
        <v>8.01</v>
      </c>
      <c r="C12" s="111" t="n">
        <v>0.06</v>
      </c>
      <c r="D12" s="87"/>
      <c r="E12" s="87"/>
      <c r="F12" s="104" t="n">
        <f aca="false">($B12*$B$7+$C12*$C$7)/100</f>
        <v>7.215</v>
      </c>
      <c r="G12" s="105"/>
      <c r="H12" s="57"/>
      <c r="I12" s="8"/>
      <c r="J12" s="106" t="s">
        <v>37</v>
      </c>
      <c r="K12" s="106"/>
      <c r="L12" s="107" t="n">
        <f aca="false">COUNTIF($G$23:$G$82,"=ALG")</f>
        <v>4</v>
      </c>
      <c r="M12" s="108"/>
      <c r="N12" s="112"/>
      <c r="O12" s="113" t="s">
        <v>31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38</v>
      </c>
      <c r="B13" s="110" t="n">
        <v>1.11</v>
      </c>
      <c r="C13" s="111" t="n">
        <v>3.02</v>
      </c>
      <c r="D13" s="87"/>
      <c r="E13" s="87"/>
      <c r="F13" s="104" t="n">
        <f aca="false">($B13*$B$7+$C13*$C$7)/100</f>
        <v>1.301</v>
      </c>
      <c r="G13" s="105"/>
      <c r="H13" s="57"/>
      <c r="I13" s="8"/>
      <c r="J13" s="106" t="s">
        <v>39</v>
      </c>
      <c r="K13" s="106"/>
      <c r="L13" s="107" t="n">
        <f aca="false">COUNTIF($G$23:$G$82,"=BRm")+COUNTIF($G$23:$G$82,"=BRh")</f>
        <v>6</v>
      </c>
      <c r="M13" s="108"/>
      <c r="N13" s="116" t="s">
        <v>40</v>
      </c>
      <c r="O13" s="117" t="n">
        <f aca="false">COUNTIF(F23:F82,"&gt;0")</f>
        <v>14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41</v>
      </c>
      <c r="B14" s="110"/>
      <c r="C14" s="111" t="n">
        <v>0.01</v>
      </c>
      <c r="D14" s="87"/>
      <c r="E14" s="87"/>
      <c r="F14" s="104" t="n">
        <f aca="false">($B14*$B$7+$C14*$C$7)/100</f>
        <v>0.001</v>
      </c>
      <c r="G14" s="105"/>
      <c r="H14" s="57"/>
      <c r="I14" s="8"/>
      <c r="J14" s="106" t="s">
        <v>42</v>
      </c>
      <c r="K14" s="106"/>
      <c r="L14" s="107" t="n">
        <f aca="false">COUNTIF($G$23:$G$82,"=PTE")+COUNTIF($G$23:$G$82,"=LIC")</f>
        <v>1</v>
      </c>
      <c r="M14" s="108"/>
      <c r="N14" s="119" t="s">
        <v>43</v>
      </c>
      <c r="O14" s="120" t="n">
        <f aca="false">COUNTIF($J$23:$J$82,"&gt;-1")</f>
        <v>12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44</v>
      </c>
      <c r="B15" s="123" t="n">
        <v>0.02</v>
      </c>
      <c r="C15" s="124" t="n">
        <v>0.02</v>
      </c>
      <c r="D15" s="87"/>
      <c r="E15" s="87"/>
      <c r="F15" s="104" t="n">
        <f aca="false">($B15*$B$7+$C15*$C$7)/100</f>
        <v>0.02</v>
      </c>
      <c r="G15" s="105"/>
      <c r="H15" s="57"/>
      <c r="I15" s="8"/>
      <c r="J15" s="106" t="s">
        <v>45</v>
      </c>
      <c r="K15" s="106"/>
      <c r="L15" s="107" t="n">
        <f aca="false">(COUNTIF($G$23:$G$82,"=PHy"))+(COUNTIF($G$23:$G$82,"=PHe"))+(COUNTIF($G$23:$G$82,"=PHg"))+(COUNTIF($G$23:$G$82,"=PHx"))</f>
        <v>3</v>
      </c>
      <c r="M15" s="108"/>
      <c r="N15" s="116" t="s">
        <v>46</v>
      </c>
      <c r="O15" s="117" t="n">
        <f aca="false">COUNTIF(K23:K82,"=1")</f>
        <v>5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47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48</v>
      </c>
      <c r="O16" s="117" t="n">
        <f aca="false">COUNTIF(K23:K82,"=2")</f>
        <v>7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49</v>
      </c>
      <c r="B17" s="110" t="n">
        <v>9.03</v>
      </c>
      <c r="C17" s="111" t="n">
        <v>3.08</v>
      </c>
      <c r="D17" s="87"/>
      <c r="E17" s="87"/>
      <c r="F17" s="129"/>
      <c r="G17" s="130" t="n">
        <f aca="false">($B17*$B$7+$C17*$C$7)/100</f>
        <v>8.435</v>
      </c>
      <c r="H17" s="57"/>
      <c r="I17" s="8"/>
      <c r="J17" s="131"/>
      <c r="K17" s="132"/>
      <c r="L17" s="133" t="s">
        <v>50</v>
      </c>
      <c r="M17" s="134" t="n">
        <f aca="false">IF(ISERROR((O13-(COUNTIF(J23:J82,"nc")))/O13),"-",(O13-(COUNTIF(J23:J82,"nc")))/O13)</f>
        <v>0.857142857142857</v>
      </c>
      <c r="N17" s="116" t="s">
        <v>51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52</v>
      </c>
      <c r="B18" s="137"/>
      <c r="C18" s="138"/>
      <c r="D18" s="87"/>
      <c r="E18" s="139" t="s">
        <v>53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8.537</v>
      </c>
      <c r="G19" s="150" t="n">
        <f aca="false">SUM(G16:G18)</f>
        <v>8.435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54</v>
      </c>
      <c r="B20" s="159" t="n">
        <f aca="false">SUM(B23:B62)</f>
        <v>9.14</v>
      </c>
      <c r="C20" s="160" t="n">
        <f aca="false">SUM(C23:C62)</f>
        <v>3.11</v>
      </c>
      <c r="D20" s="161"/>
      <c r="E20" s="162" t="s">
        <v>53</v>
      </c>
      <c r="F20" s="163" t="n">
        <f aca="false">($B20*$B$7+$C20*$C$7)/100</f>
        <v>8.537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55</v>
      </c>
      <c r="B21" s="171" t="n">
        <f aca="false">B20*B7/100</f>
        <v>8.226</v>
      </c>
      <c r="C21" s="171" t="n">
        <f aca="false">C20*C7/100</f>
        <v>0.311</v>
      </c>
      <c r="D21" s="172" t="s">
        <v>56</v>
      </c>
      <c r="E21" s="173"/>
      <c r="F21" s="174" t="n">
        <f aca="false">B21+C21</f>
        <v>8.537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57</v>
      </c>
    </row>
    <row r="22" customFormat="false" ht="12.75" hidden="false" customHeight="false" outlineLevel="0" collapsed="false">
      <c r="A22" s="183" t="s">
        <v>58</v>
      </c>
      <c r="B22" s="184" t="s">
        <v>59</v>
      </c>
      <c r="C22" s="184" t="s">
        <v>59</v>
      </c>
      <c r="D22" s="185"/>
      <c r="E22" s="186"/>
      <c r="F22" s="187" t="s">
        <v>60</v>
      </c>
      <c r="G22" s="188" t="s">
        <v>61</v>
      </c>
      <c r="H22" s="87" t="s">
        <v>62</v>
      </c>
      <c r="I22" s="8" t="s">
        <v>63</v>
      </c>
      <c r="J22" s="189" t="s">
        <v>64</v>
      </c>
      <c r="K22" s="189" t="s">
        <v>65</v>
      </c>
      <c r="L22" s="190" t="s">
        <v>66</v>
      </c>
      <c r="M22" s="190"/>
      <c r="N22" s="190"/>
      <c r="O22" s="190"/>
      <c r="P22" s="182" t="s">
        <v>67</v>
      </c>
      <c r="Q22" s="191" t="s">
        <v>68</v>
      </c>
      <c r="R22" s="192" t="s">
        <v>69</v>
      </c>
      <c r="S22" s="193" t="s">
        <v>70</v>
      </c>
      <c r="T22" s="194" t="s">
        <v>71</v>
      </c>
      <c r="U22" s="194" t="s">
        <v>72</v>
      </c>
      <c r="V22" s="195" t="s">
        <v>73</v>
      </c>
      <c r="W22" s="196" t="s">
        <v>74</v>
      </c>
      <c r="X22" s="196" t="s">
        <v>75</v>
      </c>
      <c r="Y22" s="197" t="s">
        <v>76</v>
      </c>
      <c r="Z22" s="197" t="s">
        <v>77</v>
      </c>
    </row>
    <row r="23" customFormat="false" ht="12.75" hidden="false" customHeight="false" outlineLevel="0" collapsed="false">
      <c r="A23" s="198" t="s">
        <v>78</v>
      </c>
      <c r="B23" s="199" t="n">
        <v>7.92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7.128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7.128</v>
      </c>
      <c r="S23" s="212" t="n">
        <f aca="false">IF(OR(ISTEXT(H23),R23=0),"",IF(R23&lt;0.1,1,IF(R23&lt;1,2,IF(R23&lt;10,3,IF(R23&lt;50,4,IF(R23&gt;=50,5,""))))))</f>
        <v>3</v>
      </c>
      <c r="T23" s="212" t="n">
        <f aca="false">IF(ISERROR(S23*J23),0,S23*J23)</f>
        <v>18</v>
      </c>
      <c r="U23" s="212" t="n">
        <f aca="false">IF(ISERROR(S23*J23*K23),0,S23*J23*K23)</f>
        <v>18</v>
      </c>
      <c r="V23" s="212" t="n">
        <f aca="false">IF(ISERROR(S23*K23),0,S23*K23)</f>
        <v>3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80</v>
      </c>
      <c r="B24" s="217" t="n">
        <v>0.08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Microspora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0.072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Microspora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1132</v>
      </c>
      <c r="R24" s="211" t="n">
        <f aca="false">IF(ISTEXT(H24),"",(B24*$B$7/100)+(C24*$C$7/100))</f>
        <v>0.072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MICSPX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66</v>
      </c>
    </row>
    <row r="25" customFormat="false" ht="12.75" hidden="false" customHeight="false" outlineLevel="0" collapsed="false">
      <c r="A25" s="216" t="s">
        <v>81</v>
      </c>
      <c r="B25" s="217" t="n">
        <v>0</v>
      </c>
      <c r="C25" s="218" t="n">
        <v>0.01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Nostoc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0.001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9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Nostoc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1105</v>
      </c>
      <c r="R25" s="211" t="n">
        <f aca="false">IF(ISTEXT(H25),"",(B25*$B$7/100)+(C25*$C$7/100))</f>
        <v>0.001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9</v>
      </c>
      <c r="U25" s="212" t="n">
        <f aca="false">IF(ISERROR(S25*J25*K25),0,S25*J25*K25)</f>
        <v>9</v>
      </c>
      <c r="V25" s="228" t="n">
        <f aca="false">IF(ISERROR(S25*K25),0,S25*K25)</f>
        <v>1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NOSSPX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84</v>
      </c>
    </row>
    <row r="26" customFormat="false" ht="12.75" hidden="false" customHeight="false" outlineLevel="0" collapsed="false">
      <c r="A26" s="216" t="s">
        <v>82</v>
      </c>
      <c r="B26" s="217" t="n">
        <v>0.01</v>
      </c>
      <c r="C26" s="218" t="n">
        <v>0.05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Vaucheria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0.014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4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Vaucheria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1169</v>
      </c>
      <c r="R26" s="211" t="n">
        <f aca="false">IF(ISTEXT(H26),"",(B26*$B$7/100)+(C26*$C$7/100))</f>
        <v>0.014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4</v>
      </c>
      <c r="U26" s="212" t="n">
        <f aca="false">IF(ISERROR(S26*J26*K26),0,S26*J26*K26)</f>
        <v>4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VAUSPX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118</v>
      </c>
    </row>
    <row r="27" customFormat="false" ht="12.75" hidden="false" customHeight="false" outlineLevel="0" collapsed="false">
      <c r="A27" s="216" t="s">
        <v>83</v>
      </c>
      <c r="B27" s="217" t="n">
        <v>0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Chiloscyphus polyanthos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0.001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BRh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4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15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Chiloscyphus polyanthos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1186</v>
      </c>
      <c r="R27" s="211" t="n">
        <f aca="false">IF(ISTEXT(H27),"",(B27*$B$7/100)+(C27*$C$7/100))</f>
        <v>0.001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15</v>
      </c>
      <c r="U27" s="212" t="n">
        <f aca="false">IF(ISERROR(S27*J27*K27),0,S27*J27*K27)</f>
        <v>30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CHIPOL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137</v>
      </c>
    </row>
    <row r="28" customFormat="false" ht="12.75" hidden="false" customHeight="false" outlineLevel="0" collapsed="false">
      <c r="A28" s="216" t="s">
        <v>84</v>
      </c>
      <c r="B28" s="217" t="n">
        <v>0</v>
      </c>
      <c r="C28" s="218" t="n">
        <v>0.01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Pellia endiviifolia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0.001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BRh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4</v>
      </c>
      <c r="I28" s="8" t="n">
        <f aca="false">IF(A28="","",1)</f>
        <v>1</v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nc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nc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Pellia endiviifolia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1197</v>
      </c>
      <c r="R28" s="211" t="n">
        <f aca="false">IF(ISTEXT(H28),"",(B28*$B$7/100)+(C28*$C$7/100))</f>
        <v>0.001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PELEND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167</v>
      </c>
    </row>
    <row r="29" customFormat="false" ht="12.75" hidden="false" customHeight="false" outlineLevel="0" collapsed="false">
      <c r="A29" s="216" t="s">
        <v>16</v>
      </c>
      <c r="B29" s="217" t="n">
        <v>1</v>
      </c>
      <c r="C29" s="218" t="n">
        <v>2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Fissidens crassipes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1.1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12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Fissidens crassipes</v>
      </c>
      <c r="M29" s="225"/>
      <c r="N29" s="225"/>
      <c r="O29" s="225"/>
      <c r="P29" s="226" t="s">
        <v>79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1294</v>
      </c>
      <c r="R29" s="211" t="n">
        <f aca="false">IF(ISTEXT(H29),"",(B29*$B$7/100)+(C29*$C$7/100))</f>
        <v>1.1</v>
      </c>
      <c r="S29" s="212" t="n">
        <f aca="false">IF(OR(ISTEXT(H29),R29=0),"",IF(R29&lt;0.1,1,IF(R29&lt;1,2,IF(R29&lt;10,3,IF(R29&lt;50,4,IF(R29&gt;=50,5,""))))))</f>
        <v>3</v>
      </c>
      <c r="T29" s="212" t="n">
        <f aca="false">IF(ISERROR(S29*J29),0,S29*J29)</f>
        <v>36</v>
      </c>
      <c r="U29" s="212" t="n">
        <f aca="false">IF(ISERROR(S29*J29*K29),0,S29*J29*K29)</f>
        <v>72</v>
      </c>
      <c r="V29" s="228" t="n">
        <f aca="false">IF(ISERROR(S29*K29),0,S29*K29)</f>
        <v>6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FISCRA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255</v>
      </c>
    </row>
    <row r="30" customFormat="false" ht="12.75" hidden="false" customHeight="false" outlineLevel="0" collapsed="false">
      <c r="A30" s="216" t="s">
        <v>85</v>
      </c>
      <c r="B30" s="217" t="n">
        <v>0</v>
      </c>
      <c r="C30" s="218" t="n">
        <v>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Hygroamblystegium tenax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0.1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15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Hygroamblystegium tenax</v>
      </c>
      <c r="M30" s="225"/>
      <c r="N30" s="225"/>
      <c r="O30" s="225"/>
      <c r="P30" s="226" t="s">
        <v>79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31552</v>
      </c>
      <c r="R30" s="211" t="n">
        <f aca="false">IF(ISTEXT(H30),"",(B30*$B$7/100)+(C30*$C$7/100))</f>
        <v>0.1</v>
      </c>
      <c r="S30" s="212" t="n">
        <f aca="false">IF(OR(ISTEXT(H30),R30=0),"",IF(R30&lt;0.1,1,IF(R30&lt;1,2,IF(R30&lt;10,3,IF(R30&lt;50,4,IF(R30&gt;=50,5,""))))))</f>
        <v>2</v>
      </c>
      <c r="T30" s="212" t="n">
        <f aca="false">IF(ISERROR(S30*J30),0,S30*J30)</f>
        <v>30</v>
      </c>
      <c r="U30" s="212" t="n">
        <f aca="false">IF(ISERROR(S30*J30*K30),0,S30*J30*K30)</f>
        <v>60</v>
      </c>
      <c r="V30" s="228" t="n">
        <f aca="false">IF(ISERROR(S30*K30),0,S30*K30)</f>
        <v>4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HYATEN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283</v>
      </c>
    </row>
    <row r="31" customFormat="false" ht="12.75" hidden="false" customHeight="false" outlineLevel="0" collapsed="false">
      <c r="A31" s="216" t="s">
        <v>86</v>
      </c>
      <c r="B31" s="217" t="n">
        <v>0.01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Leptodictyum riparium 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0.009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5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Leptodictyum riparium </v>
      </c>
      <c r="M31" s="225"/>
      <c r="N31" s="225"/>
      <c r="O31" s="225"/>
      <c r="P31" s="226" t="s">
        <v>79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1244</v>
      </c>
      <c r="R31" s="211" t="n">
        <f aca="false">IF(ISTEXT(H31),"",(B31*$B$7/100)+(C31*$C$7/100))</f>
        <v>0.009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5</v>
      </c>
      <c r="U31" s="212" t="n">
        <f aca="false">IF(ISERROR(S31*J31*K31),0,S31*J31*K31)</f>
        <v>10</v>
      </c>
      <c r="V31" s="228" t="n">
        <f aca="false">IF(ISERROR(S31*K31),0,S31*K31)</f>
        <v>2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LEORIP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298</v>
      </c>
    </row>
    <row r="32" customFormat="false" ht="12.75" hidden="false" customHeight="false" outlineLevel="0" collapsed="false">
      <c r="A32" s="216" t="s">
        <v>87</v>
      </c>
      <c r="B32" s="217" t="n">
        <v>0.1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Rhynchostegium riparioides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0.09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BRm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5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12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1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Rhynchostegium riparioides</v>
      </c>
      <c r="M32" s="225"/>
      <c r="N32" s="225"/>
      <c r="O32" s="225"/>
      <c r="P32" s="226" t="s">
        <v>79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31691</v>
      </c>
      <c r="R32" s="211" t="n">
        <f aca="false">IF(ISTEXT(H32),"",(B32*$B$7/100)+(C32*$C$7/100))</f>
        <v>0.09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12</v>
      </c>
      <c r="U32" s="212" t="n">
        <f aca="false">IF(ISERROR(S32*J32*K32),0,S32*J32*K32)</f>
        <v>12</v>
      </c>
      <c r="V32" s="228" t="n">
        <f aca="false">IF(ISERROR(S32*K32),0,S32*K32)</f>
        <v>1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RHYRIP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345</v>
      </c>
    </row>
    <row r="33" customFormat="false" ht="12.75" hidden="false" customHeight="false" outlineLevel="0" collapsed="false">
      <c r="A33" s="216" t="s">
        <v>88</v>
      </c>
      <c r="B33" s="217" t="n">
        <v>0</v>
      </c>
      <c r="C33" s="218" t="n">
        <v>0.01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Equisetum sp.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0.001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PTE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6</v>
      </c>
      <c r="I33" s="8" t="n">
        <f aca="false">IF(A33="","",1)</f>
        <v>1</v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nc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nc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Equisetum sp.</v>
      </c>
      <c r="M33" s="225"/>
      <c r="N33" s="225"/>
      <c r="O33" s="225"/>
      <c r="P33" s="226" t="s">
        <v>79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1383</v>
      </c>
      <c r="R33" s="211" t="n">
        <f aca="false">IF(ISTEXT(H33),"",(B33*$B$7/100)+(C33*$C$7/100))</f>
        <v>0.001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EQUSPX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391</v>
      </c>
    </row>
    <row r="34" customFormat="false" ht="12.75" hidden="false" customHeight="false" outlineLevel="0" collapsed="false">
      <c r="A34" s="216" t="s">
        <v>89</v>
      </c>
      <c r="B34" s="217" t="n">
        <v>0.01</v>
      </c>
      <c r="C34" s="218" t="n">
        <v>0.01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Agrostis stolonifera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0.01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PHe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8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10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1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Agrostis stolonifera</v>
      </c>
      <c r="M34" s="225"/>
      <c r="N34" s="225"/>
      <c r="O34" s="225"/>
      <c r="P34" s="226" t="s">
        <v>79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1543</v>
      </c>
      <c r="R34" s="211" t="n">
        <f aca="false">IF(ISTEXT(H34),"",(B34*$B$7/100)+(C34*$C$7/100))</f>
        <v>0.01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10</v>
      </c>
      <c r="U34" s="212" t="n">
        <f aca="false">IF(ISERROR(S34*J34*K34),0,S34*J34*K34)</f>
        <v>10</v>
      </c>
      <c r="V34" s="228" t="n">
        <f aca="false">IF(ISERROR(S34*K34),0,S34*K34)</f>
        <v>1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AGRSTO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623</v>
      </c>
    </row>
    <row r="35" customFormat="false" ht="12.75" hidden="false" customHeight="false" outlineLevel="0" collapsed="false">
      <c r="A35" s="216" t="s">
        <v>90</v>
      </c>
      <c r="B35" s="217" t="n">
        <v>0</v>
      </c>
      <c r="C35" s="218" t="n">
        <v>0.01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Phragmites australis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0.001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PHe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8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9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2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Phragmites australis</v>
      </c>
      <c r="M35" s="225"/>
      <c r="N35" s="225"/>
      <c r="O35" s="225"/>
      <c r="P35" s="226" t="s">
        <v>79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1579</v>
      </c>
      <c r="R35" s="211" t="n">
        <f aca="false">IF(ISTEXT(H35),"",(B35*$B$7/100)+(C35*$C$7/100))</f>
        <v>0.001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9</v>
      </c>
      <c r="U35" s="212" t="n">
        <f aca="false">IF(ISERROR(S35*J35*K35),0,S35*J35*K35)</f>
        <v>18</v>
      </c>
      <c r="V35" s="228" t="n">
        <f aca="false">IF(ISERROR(S35*K35),0,S35*K35)</f>
        <v>2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PHRAUS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709</v>
      </c>
    </row>
    <row r="36" customFormat="false" ht="12.75" hidden="false" customHeight="false" outlineLevel="0" collapsed="false">
      <c r="A36" s="216" t="s">
        <v>91</v>
      </c>
      <c r="B36" s="217" t="n">
        <v>0.01</v>
      </c>
      <c r="C36" s="218" t="n">
        <v>0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Veronica anagallis-aquatica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0.009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PHe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8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11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2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Veronica anagallis-aquatica</v>
      </c>
      <c r="M36" s="225"/>
      <c r="N36" s="225"/>
      <c r="O36" s="225"/>
      <c r="P36" s="226" t="s">
        <v>79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1955</v>
      </c>
      <c r="R36" s="211" t="n">
        <f aca="false">IF(ISTEXT(H36),"",(B36*$B$7/100)+(C36*$C$7/100))</f>
        <v>0.009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11</v>
      </c>
      <c r="U36" s="212" t="n">
        <f aca="false">IF(ISERROR(S36*J36*K36),0,S36*J36*K36)</f>
        <v>22</v>
      </c>
      <c r="V36" s="228" t="n">
        <f aca="false">IF(ISERROR(S36*K36),0,S36*K36)</f>
        <v>2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VERANA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740</v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79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79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79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79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79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79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79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79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79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8.537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27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BERRE</v>
      </c>
      <c r="B84" s="180" t="str">
        <f aca="false">C3</f>
        <v>BERRE A VALAURIE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10.7037037037037</v>
      </c>
      <c r="E84" s="254" t="n">
        <f aca="false">O13</f>
        <v>14</v>
      </c>
      <c r="F84" s="180" t="n">
        <f aca="false">O14</f>
        <v>12</v>
      </c>
      <c r="G84" s="180" t="n">
        <f aca="false">O15</f>
        <v>5</v>
      </c>
      <c r="H84" s="180" t="n">
        <f aca="false">O16</f>
        <v>7</v>
      </c>
      <c r="I84" s="180" t="n">
        <f aca="false">O17</f>
        <v>0</v>
      </c>
      <c r="J84" s="255" t="n">
        <f aca="false">O8</f>
        <v>10</v>
      </c>
      <c r="K84" s="256" t="n">
        <f aca="false">O9</f>
        <v>3.43996124009172</v>
      </c>
      <c r="L84" s="257" t="n">
        <f aca="false">O10</f>
        <v>4</v>
      </c>
      <c r="M84" s="257" t="n">
        <f aca="false">O11</f>
        <v>15</v>
      </c>
      <c r="N84" s="256" t="n">
        <f aca="false">P8</f>
        <v>1.58333333333333</v>
      </c>
      <c r="O84" s="256" t="n">
        <f aca="false">P9</f>
        <v>0.493006648591635</v>
      </c>
      <c r="P84" s="257" t="n">
        <f aca="false">P10</f>
        <v>1</v>
      </c>
      <c r="Q84" s="257" t="n">
        <f aca="false">P11</f>
        <v>2</v>
      </c>
      <c r="R84" s="257" t="n">
        <f aca="false">F21</f>
        <v>8.537</v>
      </c>
      <c r="S84" s="257" t="n">
        <f aca="false">L11</f>
        <v>0</v>
      </c>
      <c r="T84" s="257" t="n">
        <f aca="false">L12</f>
        <v>4</v>
      </c>
      <c r="U84" s="257" t="n">
        <f aca="false">L13</f>
        <v>6</v>
      </c>
      <c r="V84" s="258" t="n">
        <f aca="false">L15</f>
        <v>3</v>
      </c>
      <c r="W84" s="259" t="n">
        <f aca="false">L15</f>
        <v>3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92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93</v>
      </c>
      <c r="S87" s="8"/>
      <c r="T87" s="263" t="n">
        <f aca="false">VLOOKUP($T$91,($A$23:$U$82),20,FALSE())</f>
        <v>36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94</v>
      </c>
      <c r="S88" s="8"/>
      <c r="T88" s="263" t="n">
        <f aca="false">VLOOKUP($T$91,($A$23:$U$82),21,FALSE())</f>
        <v>72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95</v>
      </c>
      <c r="S89" s="8"/>
      <c r="T89" s="263" t="n">
        <f aca="false">MAX($V$23:$V$82)</f>
        <v>6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96</v>
      </c>
      <c r="S90" s="8" t="s">
        <v>10</v>
      </c>
      <c r="T90" s="264" t="n">
        <f aca="false">IF(OR(ISERROR(SUM($U$23:$U$82)/SUM($V$23:$V$82)),F7&lt;&gt;100),-1,(SUM($U$23:$U$82)-T88)/(SUM($V$23:$V$82)-T89))</f>
        <v>10.3333333333333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97</v>
      </c>
      <c r="S91" s="212"/>
      <c r="T91" s="212" t="str">
        <f aca="false">INDEX('[1]liste reference'!$A$6:$A$1174,$U$91)</f>
        <v>FISCRA</v>
      </c>
      <c r="U91" s="8" t="n">
        <f aca="false">IF(ISERROR(MATCH($T$93,'[1]liste reference'!$A$6:$A$1174,0)),MATCH($T$93,'[1]liste reference'!$B$6:$B$1174,0),(MATCH($T$93,'[1]liste reference'!$A$6:$A$1174,0)))</f>
        <v>255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98</v>
      </c>
      <c r="S92" s="8"/>
      <c r="T92" s="8" t="n">
        <f aca="false">MATCH(T89,$V$23:$V$82,0)</f>
        <v>7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99</v>
      </c>
      <c r="S93" s="8"/>
      <c r="T93" s="212" t="str">
        <f aca="false">INDEX($A$23:$A$82,$T$92)</f>
        <v>FISCRA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2016-04-11T08:12:56Z</dcterms:created>
  <dc:creator>laurianne isebe</dc:creator>
  <dc:description/>
  <dc:language>fr-FR</dc:language>
  <cp:lastModifiedBy>laurianne isebe</cp:lastModifiedBy>
  <dcterms:modified xsi:type="dcterms:W3CDTF">2016-04-11T08:13:00Z</dcterms:modified>
  <cp:revision>0</cp:revision>
  <dc:subject/>
  <dc:title/>
</cp:coreProperties>
</file>