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<sst xmlns="http://schemas.openxmlformats.org/spreadsheetml/2006/main" count="220" uniqueCount="102">
  <si>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</si>
  <si>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</si>
  <si>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</si>
  <si>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</si>
  <si>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</si>
  <si>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Borne</t>
  </si>
  <si>
    <t>BORNE A ST LAURENT LES BAINS</t>
  </si>
  <si>
    <t>06114800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</si>
  <si>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</si>
  <si>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</si>
  <si>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</si>
  <si>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</si>
  <si>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</si>
  <si>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</si>
  <si>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</si>
  <si>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</si>
  <si>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</si>
  <si>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</si>
  <si>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</si>
  <si>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</si>
  <si>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</si>
  <si>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</si>
  <si>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</si>
  <si>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</si>
  <si>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</si>
  <si>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</si>
  <si>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</si>
  <si>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</si>
  <si>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</si>
  <si>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</si>
  <si>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</si>
  <si>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</si>
  <si>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</si>
  <si>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</si>
  <si>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</si>
  <si>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</si>
  <si>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</si>
  <si>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</si>
  <si>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</si>
  <si>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</si>
  <si>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</si>
  <si>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</si>
  <si>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</si>
  <si>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</si>
  <si>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</si>
  <si>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</si>
  <si>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</si>
  <si>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</si>
  <si>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</si>
  <si>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</si>
  <si>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</si>
  <si>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</si>
  <si>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</si>
  <si>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</si>
  <si>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</si>
  <si>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</si>
  <si>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</si>
  <si>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</si>
  <si>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</si>
  <si>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</si>
  <si>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</si>
  <si>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</si>
  <si>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</si>
  <si>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</si>
  <si>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</si>
  <si>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</si>
  <si>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</si>
  <si>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</si>
  <si>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</si>
  <si>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</si>
  <si>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</si>
  <si>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</si>
  <si>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</si>
  <si>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</si>
  <si>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</si>
  <si>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</si>
  <si>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</si>
  <si>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</si>
  <si>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</si>
  <si>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HYUSPX</t>
  </si>
  <si>
    <t>PHOSPX</t>
  </si>
  <si>
    <t>SPISPX</t>
  </si>
  <si>
    <t>ULOSPX</t>
  </si>
  <si>
    <t>DERWEB</t>
  </si>
  <si>
    <t>CONCON</t>
  </si>
  <si>
    <t>SCAUND</t>
  </si>
  <si>
    <t>BRARIV</t>
  </si>
  <si>
    <t>BRYPSE</t>
  </si>
  <si>
    <t>CINDAN</t>
  </si>
  <si>
    <t>FONSQU</t>
  </si>
  <si>
    <t>RHYRIP</t>
  </si>
  <si>
    <t>newcod</t>
  </si>
  <si>
    <t>Encyonema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</si>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</sst>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RLA_17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14.5</v>
      </c>
      <c r="M5" s="52"/>
      <c r="N5" s="53" t="s">
        <v>16</v>
      </c>
      <c r="O5" s="54">
        <v>14.384615384615385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80</v>
      </c>
      <c r="C7" s="65">
        <v>20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13.909090909090908</v>
      </c>
      <c r="O8" s="81">
        <f>IF(ISERROR(AVERAGE(J23:J82)),"      -",AVERAGE(J23:J82))</f>
        <v>2.090909090909091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4.42</v>
      </c>
      <c r="C9" s="84">
        <v>0.2</v>
      </c>
      <c r="D9" s="85"/>
      <c r="E9" s="85"/>
      <c r="F9" s="86">
        <f aca="true" t="shared" si="0" ref="F9:F15">($B9*$B$7+$C9*$C$7)/100</f>
        <v>3.576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2.3531234737354154</v>
      </c>
      <c r="O9" s="81">
        <f>IF(ISERROR(STDEVP(J23:J82)),"      -",STDEVP(J23:J82))</f>
        <v>0.7925270806437589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>
        <v>0.01</v>
      </c>
      <c r="D11" s="108"/>
      <c r="E11" s="108"/>
      <c r="F11" s="109">
        <f t="shared" si="0"/>
        <v>0.002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17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4.31</v>
      </c>
      <c r="C12" s="115">
        <v>0.11</v>
      </c>
      <c r="D12" s="108"/>
      <c r="E12" s="108"/>
      <c r="F12" s="109">
        <f t="shared" si="0"/>
        <v>3.4699999999999993</v>
      </c>
      <c r="G12" s="116"/>
      <c r="H12" s="66"/>
      <c r="I12" s="274" t="s">
        <v>39</v>
      </c>
      <c r="J12" s="265"/>
      <c r="K12" s="111">
        <f>COUNTIF($G$23:$G$82,"=ALG")</f>
        <v>5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0.11</v>
      </c>
      <c r="C13" s="115">
        <v>0.07</v>
      </c>
      <c r="D13" s="108"/>
      <c r="E13" s="108"/>
      <c r="F13" s="109">
        <f t="shared" si="0"/>
        <v>0.10200000000000001</v>
      </c>
      <c r="G13" s="116"/>
      <c r="H13" s="66"/>
      <c r="I13" s="264" t="s">
        <v>41</v>
      </c>
      <c r="J13" s="265"/>
      <c r="K13" s="111">
        <f>COUNTIF($G$23:$G$82,"=BRm")+COUNTIF($G$23:$G$82,"=BRh")</f>
        <v>7</v>
      </c>
      <c r="L13" s="112"/>
      <c r="M13" s="122" t="s">
        <v>42</v>
      </c>
      <c r="N13" s="123">
        <f>COUNTIF(F23:F82,"&gt;0")</f>
        <v>14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>
        <v>0.01</v>
      </c>
      <c r="D14" s="108"/>
      <c r="E14" s="108"/>
      <c r="F14" s="109">
        <f t="shared" si="0"/>
        <v>0.002</v>
      </c>
      <c r="G14" s="116"/>
      <c r="H14" s="66"/>
      <c r="I14" s="264" t="s">
        <v>44</v>
      </c>
      <c r="J14" s="265"/>
      <c r="K14" s="111">
        <f>COUNTIF($G$23:$G$82,"=PTE")+COUNTIF($G$23:$G$82,"=LIC")</f>
        <v>1</v>
      </c>
      <c r="L14" s="112"/>
      <c r="M14" s="126" t="s">
        <v>45</v>
      </c>
      <c r="N14" s="127">
        <f>COUNTIF($I$23:$I$82,"&gt;-1")</f>
        <v>11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48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4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4.42</v>
      </c>
      <c r="C17" s="115">
        <v>0.2</v>
      </c>
      <c r="D17" s="108"/>
      <c r="E17" s="108"/>
      <c r="F17" s="139"/>
      <c r="G17" s="109">
        <f>($B17*$B$7+$C17*$C$7)/100</f>
        <v>3.576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4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3.5759999999999987</v>
      </c>
      <c r="G19" s="153">
        <f>SUM(G16:G18)</f>
        <v>3.576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5.22</v>
      </c>
      <c r="C20" s="163">
        <f>SUM(C23:C82)</f>
        <v>0.20000000000000004</v>
      </c>
      <c r="D20" s="164"/>
      <c r="E20" s="165" t="s">
        <v>54</v>
      </c>
      <c r="F20" s="166">
        <f>($B20*$B$7+$C20*$C$7)/100</f>
        <v>4.215999999999999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4.175999999999999</v>
      </c>
      <c r="C21" s="176">
        <f>C20*C7/100</f>
        <v>0.04000000000000001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4.215999999999999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0.56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Hydrurus sp.</v>
      </c>
      <c r="E23" s="203" t="e">
        <f>IF(D23="",,VLOOKUP(D23,D$22:D22,1,0))</f>
        <v>#N/A</v>
      </c>
      <c r="F23" s="204">
        <f aca="true" t="shared" si="1" ref="F23:F82">($B23*$B$7+$C23*$C$7)/100</f>
        <v>0.44800000000000006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Hydrurus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6183</v>
      </c>
      <c r="Q23" s="211">
        <f aca="true" t="shared" si="2" ref="Q23:Q82">IF(ISTEXT(H23),"",(B23*$B$7/100)+(C23*$C$7/100))</f>
        <v>0.44800000000000006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32</v>
      </c>
      <c r="T23" s="212">
        <f aca="true" t="shared" si="5" ref="T23:T82">IF(ISERROR(R23*I23*J23),0,R23*I23*J23)</f>
        <v>64</v>
      </c>
      <c r="U23" s="212">
        <f aca="true" t="shared" si="6" ref="U23:U82">IF(ISERROR(R23*J23),0,R23*J23)</f>
        <v>4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HYUSPX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16</v>
      </c>
      <c r="B24" s="219">
        <v>3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21" t="e">
        <f>IF(D24="",,VLOOKUP(D24,D$22:D23,1,0))</f>
        <v>#N/A</v>
      </c>
      <c r="F24" s="222">
        <f t="shared" si="1"/>
        <v>2.4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2"/>
        <v>2.4</v>
      </c>
      <c r="R24" s="212">
        <f t="shared" si="3"/>
        <v>3</v>
      </c>
      <c r="S24" s="212">
        <f t="shared" si="4"/>
        <v>45</v>
      </c>
      <c r="T24" s="212">
        <f t="shared" si="5"/>
        <v>90</v>
      </c>
      <c r="U24" s="224">
        <f t="shared" si="6"/>
        <v>6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1</v>
      </c>
      <c r="C25" s="220">
        <v>0.1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0.82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0.8200000000000001</v>
      </c>
      <c r="R25" s="212">
        <f t="shared" si="3"/>
        <v>2</v>
      </c>
      <c r="S25" s="212">
        <f t="shared" si="4"/>
        <v>26</v>
      </c>
      <c r="T25" s="212">
        <f t="shared" si="5"/>
        <v>52</v>
      </c>
      <c r="U25" s="224">
        <f t="shared" si="6"/>
        <v>4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0.01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21" t="e">
        <f>IF(D26="",,VLOOKUP(D26,D$22:D25,1,0))</f>
        <v>#N/A</v>
      </c>
      <c r="F26" s="222">
        <f t="shared" si="1"/>
        <v>0.008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11">
        <f t="shared" si="2"/>
        <v>0.008</v>
      </c>
      <c r="R26" s="212">
        <f t="shared" si="3"/>
        <v>1</v>
      </c>
      <c r="S26" s="212">
        <f t="shared" si="4"/>
        <v>10</v>
      </c>
      <c r="T26" s="212">
        <f t="shared" si="5"/>
        <v>10</v>
      </c>
      <c r="U26" s="224">
        <f t="shared" si="6"/>
        <v>1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0.54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Ulothrix sp.</v>
      </c>
      <c r="E27" s="221" t="e">
        <f>IF(D27="",,VLOOKUP(D27,D$22:D26,1,0))</f>
        <v>#N/A</v>
      </c>
      <c r="F27" s="222">
        <f t="shared" si="1"/>
        <v>0.43400000000000005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Ulothrix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1142</v>
      </c>
      <c r="Q27" s="211">
        <f t="shared" si="2"/>
        <v>0.43400000000000005</v>
      </c>
      <c r="R27" s="212">
        <f t="shared" si="3"/>
        <v>2</v>
      </c>
      <c r="S27" s="212">
        <f t="shared" si="4"/>
        <v>20</v>
      </c>
      <c r="T27" s="212">
        <f t="shared" si="5"/>
        <v>20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ULOSPX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81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</v>
      </c>
      <c r="C28" s="220">
        <v>0.01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Dermatocarpon weberi</v>
      </c>
      <c r="E28" s="221" t="e">
        <f>IF(D28="",,VLOOKUP(D28,D$22:D27,1,0))</f>
        <v>#N/A</v>
      </c>
      <c r="F28" s="222">
        <f t="shared" si="1"/>
        <v>0.002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LIC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3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16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Dermatocarpon weberi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10217</v>
      </c>
      <c r="Q28" s="211">
        <f t="shared" si="2"/>
        <v>0.002</v>
      </c>
      <c r="R28" s="212">
        <f t="shared" si="3"/>
        <v>1</v>
      </c>
      <c r="S28" s="212">
        <f t="shared" si="4"/>
        <v>16</v>
      </c>
      <c r="T28" s="212">
        <f t="shared" si="5"/>
        <v>48</v>
      </c>
      <c r="U28" s="224">
        <f t="shared" si="6"/>
        <v>3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DERWEB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88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</v>
      </c>
      <c r="C29" s="220">
        <v>0.01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Conocephalum conicum</v>
      </c>
      <c r="E29" s="221" t="e">
        <f>IF(D29="",,VLOOKUP(D29,D$22:D28,1,0))</f>
        <v>#N/A</v>
      </c>
      <c r="F29" s="222">
        <f t="shared" si="1"/>
        <v>0.002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BRh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4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Conocephalum conicum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1176</v>
      </c>
      <c r="Q29" s="211">
        <f t="shared" si="2"/>
        <v>0.002</v>
      </c>
      <c r="R29" s="212">
        <f t="shared" si="3"/>
        <v>1</v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CONCON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99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0.02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Scapania undulata</v>
      </c>
      <c r="E30" s="221" t="e">
        <f>IF(D30="",,VLOOKUP(D30,D$22:D29,1,0))</f>
        <v>#N/A</v>
      </c>
      <c r="F30" s="222">
        <f t="shared" si="1"/>
        <v>0.004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BRh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4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17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Scapania undulata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1213</v>
      </c>
      <c r="Q30" s="211">
        <f t="shared" si="2"/>
        <v>0.004</v>
      </c>
      <c r="R30" s="212">
        <f t="shared" si="3"/>
        <v>1</v>
      </c>
      <c r="S30" s="212">
        <f t="shared" si="4"/>
        <v>17</v>
      </c>
      <c r="T30" s="212">
        <f t="shared" si="5"/>
        <v>51</v>
      </c>
      <c r="U30" s="224">
        <f t="shared" si="6"/>
        <v>3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SCAUND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144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Brachythecium rivulare</v>
      </c>
      <c r="E31" s="221" t="e">
        <f>IF(D31="",,VLOOKUP(D31,D$22:D30,1,0))</f>
        <v>#N/A</v>
      </c>
      <c r="F31" s="222">
        <f t="shared" si="1"/>
        <v>0.002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Brachythecium rivulare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1260</v>
      </c>
      <c r="Q31" s="211">
        <f t="shared" si="2"/>
        <v>0.002</v>
      </c>
      <c r="R31" s="212">
        <f t="shared" si="3"/>
        <v>1</v>
      </c>
      <c r="S31" s="212">
        <f t="shared" si="4"/>
        <v>15</v>
      </c>
      <c r="T31" s="212">
        <f t="shared" si="5"/>
        <v>30</v>
      </c>
      <c r="U31" s="224">
        <f t="shared" si="6"/>
        <v>2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BRARIV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155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87</v>
      </c>
      <c r="B32" s="219">
        <v>0</v>
      </c>
      <c r="C32" s="220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Bryum pseudotriquetrum</v>
      </c>
      <c r="E32" s="221" t="e">
        <f>IF(D32="",,VLOOKUP(D32,D$22:D31,1,0))</f>
        <v>#N/A</v>
      </c>
      <c r="F32" s="222">
        <f t="shared" si="1"/>
        <v>0.002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Bryum pseudotriquetrum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1274</v>
      </c>
      <c r="Q32" s="211">
        <f t="shared" si="2"/>
        <v>0.002</v>
      </c>
      <c r="R32" s="212">
        <f t="shared" si="3"/>
        <v>1</v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BRYPSE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160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</v>
      </c>
      <c r="C33" s="220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Cinclidotus danubicus</v>
      </c>
      <c r="E33" s="221" t="e">
        <f>IF(D33="",,VLOOKUP(D33,D$22:D32,1,0))</f>
        <v>#N/A</v>
      </c>
      <c r="F33" s="222">
        <f t="shared" si="1"/>
        <v>0.002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13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Cinclidotus danubicus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1319</v>
      </c>
      <c r="Q33" s="211">
        <f t="shared" si="2"/>
        <v>0.002</v>
      </c>
      <c r="R33" s="212">
        <f t="shared" si="3"/>
        <v>1</v>
      </c>
      <c r="S33" s="212">
        <f t="shared" si="4"/>
        <v>13</v>
      </c>
      <c r="T33" s="212">
        <f t="shared" si="5"/>
        <v>39</v>
      </c>
      <c r="U33" s="224">
        <f t="shared" si="6"/>
        <v>3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CINDAN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171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89</v>
      </c>
      <c r="B34" s="219">
        <v>0.1</v>
      </c>
      <c r="C34" s="220">
        <v>0.01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Fontinalis squamosa</v>
      </c>
      <c r="E34" s="221" t="e">
        <f>IF(D34="",,VLOOKUP(D34,D$22:D33,1,0))</f>
        <v>#N/A</v>
      </c>
      <c r="F34" s="226">
        <f t="shared" si="1"/>
        <v>0.08199999999999999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16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Fontinalis squamosa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1312</v>
      </c>
      <c r="Q34" s="211">
        <f t="shared" si="2"/>
        <v>0.082</v>
      </c>
      <c r="R34" s="212">
        <f t="shared" si="3"/>
        <v>1</v>
      </c>
      <c r="S34" s="212">
        <f t="shared" si="4"/>
        <v>16</v>
      </c>
      <c r="T34" s="212">
        <f t="shared" si="5"/>
        <v>48</v>
      </c>
      <c r="U34" s="224">
        <f t="shared" si="6"/>
        <v>3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FONSQU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214</v>
      </c>
      <c r="AA34" s="216"/>
      <c r="AB34" s="217"/>
      <c r="AC34" s="217"/>
      <c r="BB34" s="8">
        <f t="shared" si="8"/>
        <v>1</v>
      </c>
    </row>
    <row r="35" spans="1:54" ht="12.75">
      <c r="A35" s="218" t="s">
        <v>90</v>
      </c>
      <c r="B35" s="219">
        <v>0.01</v>
      </c>
      <c r="C35" s="220">
        <v>0</v>
      </c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>Rhynchostegium riparioides</v>
      </c>
      <c r="E35" s="221" t="e">
        <f>IF(D35="",,VLOOKUP(D35,D$22:D34,1,0))</f>
        <v>#N/A</v>
      </c>
      <c r="F35" s="226">
        <f t="shared" si="1"/>
        <v>0.008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0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Rhynchostegium riparioides</v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1268</v>
      </c>
      <c r="Q35" s="211">
        <f t="shared" si="2"/>
        <v>0.008</v>
      </c>
      <c r="R35" s="212">
        <f t="shared" si="3"/>
        <v>1</v>
      </c>
      <c r="S35" s="212">
        <f t="shared" si="4"/>
        <v>12</v>
      </c>
      <c r="T35" s="212">
        <f t="shared" si="5"/>
        <v>12</v>
      </c>
      <c r="U35" s="224">
        <f t="shared" si="6"/>
        <v>1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RHYRIP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252</v>
      </c>
      <c r="AA35" s="216"/>
      <c r="AB35" s="217"/>
      <c r="AC35" s="217"/>
      <c r="BB35" s="8">
        <f t="shared" si="8"/>
        <v>1</v>
      </c>
    </row>
    <row r="36" spans="1:54" ht="12.75">
      <c r="A36" s="218" t="s">
        <v>91</v>
      </c>
      <c r="B36" s="219">
        <v>0</v>
      </c>
      <c r="C36" s="220">
        <v>0.01</v>
      </c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0.002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    -</v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Encyonema</v>
      </c>
      <c r="L36" s="223"/>
      <c r="M36" s="223"/>
      <c r="N36" s="223"/>
      <c r="O36" s="210"/>
      <c r="P36" s="210" t="str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No</v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 t="str">
        <f>IF(A36="new.cod","NEWCOD",IF(AND((Z36=""),ISTEXT(A36)),A36,IF(Z36="","",INDEX('[1]liste reference'!$A$8:$A$904,Z36))))</f>
        <v>newcod</v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 t="s">
        <v>92</v>
      </c>
      <c r="AC36" s="217"/>
      <c r="BB36" s="8">
        <f t="shared" si="8"/>
        <v>1</v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93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Borne</v>
      </c>
      <c r="B84" s="254" t="str">
        <f>C3</f>
        <v>BORNE A ST LAURENT LES BAINS</v>
      </c>
      <c r="C84" s="255">
        <f>A4</f>
        <v>41442</v>
      </c>
      <c r="D84" s="256">
        <f>IF(ISERROR(SUM($T$23:$T$82)/SUM($U$23:$U$82)),"",SUM($T$23:$T$82)/SUM($U$23:$U$82))</f>
        <v>14.5</v>
      </c>
      <c r="E84" s="257">
        <f>N13</f>
        <v>14</v>
      </c>
      <c r="F84" s="254">
        <f>N14</f>
        <v>11</v>
      </c>
      <c r="G84" s="254">
        <f>N15</f>
        <v>3</v>
      </c>
      <c r="H84" s="254">
        <f>N16</f>
        <v>4</v>
      </c>
      <c r="I84" s="254">
        <f>N17</f>
        <v>4</v>
      </c>
      <c r="J84" s="258">
        <f>N8</f>
        <v>13.909090909090908</v>
      </c>
      <c r="K84" s="256">
        <f>N9</f>
        <v>2.3531234737354154</v>
      </c>
      <c r="L84" s="257">
        <f>N10</f>
        <v>10</v>
      </c>
      <c r="M84" s="257">
        <f>N11</f>
        <v>17</v>
      </c>
      <c r="N84" s="256">
        <f>O8</f>
        <v>2.090909090909091</v>
      </c>
      <c r="O84" s="256">
        <f>O9</f>
        <v>0.7925270806437589</v>
      </c>
      <c r="P84" s="257">
        <f>O10</f>
        <v>1</v>
      </c>
      <c r="Q84" s="257">
        <f>O11</f>
        <v>3</v>
      </c>
      <c r="R84" s="257">
        <f>F21</f>
        <v>4.215999999999999</v>
      </c>
      <c r="S84" s="257">
        <f>K11</f>
        <v>0</v>
      </c>
      <c r="T84" s="257">
        <f>K12</f>
        <v>5</v>
      </c>
      <c r="U84" s="257">
        <f>K13</f>
        <v>7</v>
      </c>
      <c r="V84" s="259">
        <f>K14</f>
        <v>1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94</v>
      </c>
      <c r="R86" s="8"/>
      <c r="S86" s="213"/>
      <c r="T86" s="8"/>
      <c r="U86" s="8"/>
      <c r="V86" s="8"/>
    </row>
    <row r="87" spans="16:22" ht="12.75" hidden="1">
      <c r="P87" s="8"/>
      <c r="Q87" s="8" t="s">
        <v>95</v>
      </c>
      <c r="R87" s="8"/>
      <c r="S87" s="21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96</v>
      </c>
      <c r="R88" s="8"/>
      <c r="S88" s="213">
        <f>VLOOKUP((S87),($S$23:$U$82),2,0)</f>
        <v>90</v>
      </c>
      <c r="T88" s="8"/>
      <c r="U88" s="8"/>
      <c r="V88" s="8"/>
    </row>
    <row r="89" spans="17:20" ht="12.75" hidden="1">
      <c r="Q89" s="8" t="s">
        <v>97</v>
      </c>
      <c r="R89" s="8"/>
      <c r="S89" s="213">
        <f>VLOOKUP((S87),($S$23:$U$82),3,0)</f>
        <v>6</v>
      </c>
      <c r="T89" s="8"/>
    </row>
    <row r="90" spans="17:20" ht="12.75">
      <c r="Q90" s="8" t="s">
        <v>98</v>
      </c>
      <c r="R90" s="8"/>
      <c r="S90" s="263">
        <f>IF(ISERROR(SUM($T$23:$T$82)/SUM($U$23:$U$82)),"",(SUM($T$23:$T$82)-S88)/(SUM($U$23:$U$82)-S89))</f>
        <v>14.384615384615385</v>
      </c>
      <c r="T90" s="8"/>
    </row>
    <row r="91" spans="17:21" ht="12.75">
      <c r="Q91" s="212" t="s">
        <v>99</v>
      </c>
      <c r="R91" s="212"/>
      <c r="S91" s="212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52"/>
    </row>
    <row r="92" spans="17:20" ht="12.75">
      <c r="Q92" s="8" t="s">
        <v>100</v>
      </c>
      <c r="R92" s="8"/>
      <c r="S92" s="8">
        <f>MATCH(S87,$S$23:$S$82,0)</f>
        <v>2</v>
      </c>
      <c r="T92" s="8"/>
    </row>
    <row r="93" spans="17:20" ht="12.75">
      <c r="Q93" s="212" t="s">
        <v>101</v>
      </c>
      <c r="R93" s="8"/>
      <c r="S93" s="212" t="str">
        <f>INDEX($A$23:$A$82,$S$92)</f>
        <v>LEASPX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2013-11-22T08:52:56Z</dcterms:created>
  <dcterms:modified xsi:type="dcterms:W3CDTF">2013-11-22T08:53:41Z</dcterms:modified>
  <cp:category/>
  <cp:version/>
  <cp:contentType/>
  <cp:contentStatus/>
</cp:coreProperties>
</file>