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<sst xmlns="http://schemas.openxmlformats.org/spreadsheetml/2006/main" count="100" uniqueCount="93">
  <si>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</si>
  <si>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</si>
  <si>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</si>
  <si>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 BOURGOIN C. BERNARD</t>
  </si>
  <si>
    <t xml:space="preserve">conforme AFNOR T90-395 oct. 2003</t>
  </si>
  <si>
    <t xml:space="preserve">LEZ</t>
  </si>
  <si>
    <t xml:space="preserve">LEZ A TAULIGNAN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</si>
  <si>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</si>
  <si>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</si>
  <si>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</si>
  <si>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</si>
  <si>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</si>
  <si>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</si>
  <si>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</si>
  <si>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</si>
  <si>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</si>
  <si>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</si>
  <si>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</si>
  <si>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</si>
  <si>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</si>
  <si>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</si>
  <si>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</si>
  <si>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</si>
  <si>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</si>
  <si>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</si>
  <si>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</si>
  <si>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</si>
  <si>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</si>
  <si>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</si>
  <si>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</si>
  <si>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</si>
  <si>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</si>
  <si>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</si>
  <si>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</si>
  <si>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</si>
  <si>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</si>
  <si>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</si>
  <si>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</si>
  <si>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</si>
  <si>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</si>
  <si>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</si>
  <si>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</si>
  <si>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</si>
  <si>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</si>
  <si>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</si>
  <si>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</si>
  <si>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</si>
  <si>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</si>
  <si>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</si>
  <si>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</si>
  <si>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</si>
  <si>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</si>
  <si>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</si>
  <si>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</si>
  <si>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</si>
  <si>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</si>
  <si>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</si>
  <si>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</si>
  <si>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</si>
  <si>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</si>
  <si>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</si>
  <si>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</si>
  <si>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</si>
  <si>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</si>
  <si>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</si>
  <si>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</si>
  <si>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</si>
  <si>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</si>
  <si>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</si>
  <si>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</si>
  <si>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</si>
  <si>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</si>
  <si>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</si>
  <si>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</si>
  <si>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</si>
  <si>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</si>
  <si>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</si>
  <si>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MENAQU</t>
  </si>
  <si>
    <t xml:space="preserve">MENLON</t>
  </si>
  <si>
    <t xml:space="preserve">newcod</t>
  </si>
  <si>
    <t xml:space="preserve">Salix elaeagnos </t>
  </si>
  <si>
    <t xml:space="preserve">Salix purpurea</t>
  </si>
  <si>
    <t xml:space="preserve">Diatomées coloniales autres que Diatoma sp.</t>
  </si>
  <si>
    <t xml:space="preserve">fibres végétales 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</si>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</sst>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LEZTA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n">
        <v>6117220</v>
      </c>
      <c r="L3" s="29"/>
      <c r="M3" s="30" t="s">
        <v>7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8</v>
      </c>
      <c r="J4" s="38"/>
      <c r="K4" s="38"/>
      <c r="L4" s="39"/>
      <c r="M4" s="39"/>
      <c r="N4" s="40" t="s">
        <v>9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10</v>
      </c>
      <c r="B5" s="44" t="s">
        <v>11</v>
      </c>
      <c r="C5" s="45" t="s">
        <v>12</v>
      </c>
      <c r="D5" s="46"/>
      <c r="E5" s="46"/>
      <c r="F5" s="47" t="s">
        <v>13</v>
      </c>
      <c r="G5" s="48"/>
      <c r="H5" s="46"/>
      <c r="I5" s="49"/>
      <c r="J5" s="50"/>
      <c r="K5" s="51" t="s">
        <v>14</v>
      </c>
      <c r="L5" s="52" t="n">
        <v>13.3333333333333</v>
      </c>
      <c r="M5" s="53"/>
      <c r="N5" s="54" t="s">
        <v>15</v>
      </c>
      <c r="O5" s="55" t="n">
        <v>12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8"/>
      <c r="E8" s="68"/>
      <c r="F8" s="80" t="s">
        <v>26</v>
      </c>
      <c r="G8" s="81"/>
      <c r="H8" s="82"/>
      <c r="I8" s="71"/>
      <c r="J8" s="72"/>
      <c r="K8" s="73"/>
      <c r="L8" s="74"/>
      <c r="M8" s="83" t="s">
        <v>27</v>
      </c>
      <c r="N8" s="84" t="n">
        <f aca="false">IF(ISERROR(AVERAGE(I23:I82)),"     -",AVERAGE(I23:I82))</f>
        <v>13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 t="n">
        <v>1.52</v>
      </c>
      <c r="C9" s="87" t="n">
        <v>6.55</v>
      </c>
      <c r="D9" s="88"/>
      <c r="E9" s="88"/>
      <c r="F9" s="89" t="n">
        <f aca="false">($B9*$B$7+$C9*$C$7)/100</f>
        <v>1.6206</v>
      </c>
      <c r="G9" s="90"/>
      <c r="H9" s="91"/>
      <c r="I9" s="92"/>
      <c r="J9" s="93"/>
      <c r="K9" s="73"/>
      <c r="L9" s="94"/>
      <c r="M9" s="83" t="s">
        <v>29</v>
      </c>
      <c r="N9" s="84" t="n">
        <f aca="false">IF(ISERROR(STDEVP(I23:I82)),"     -",STDEVP(I23:I82))</f>
        <v>1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 t="s">
        <v>31</v>
      </c>
      <c r="C10" s="99" t="s">
        <v>31</v>
      </c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14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1.51</v>
      </c>
      <c r="C12" s="119" t="n">
        <v>6.5</v>
      </c>
      <c r="D12" s="111"/>
      <c r="E12" s="111"/>
      <c r="F12" s="112" t="n">
        <f aca="false">($B12*$B$7+$C12*$C$7)/100</f>
        <v>1.6098</v>
      </c>
      <c r="G12" s="120"/>
      <c r="H12" s="68"/>
      <c r="I12" s="121" t="s">
        <v>38</v>
      </c>
      <c r="J12" s="121"/>
      <c r="K12" s="115" t="n">
        <f aca="false">COUNTIF($G$23:$G$82,"=ALG")</f>
        <v>0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0</v>
      </c>
      <c r="L13" s="116"/>
      <c r="M13" s="127" t="s">
        <v>41</v>
      </c>
      <c r="N13" s="128" t="n">
        <f aca="false">COUNTIF(F23:F82,"&gt;0")</f>
        <v>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2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0.01</v>
      </c>
      <c r="C15" s="136" t="n">
        <v>0.05</v>
      </c>
      <c r="D15" s="111"/>
      <c r="E15" s="111"/>
      <c r="F15" s="112" t="n">
        <f aca="false">($B15*$B$7+$C15*$C$7)/100</f>
        <v>0.0108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3</v>
      </c>
      <c r="L15" s="116"/>
      <c r="M15" s="137" t="s">
        <v>47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1.51</v>
      </c>
      <c r="C17" s="119" t="n">
        <v>6.5</v>
      </c>
      <c r="D17" s="111"/>
      <c r="E17" s="111"/>
      <c r="F17" s="143"/>
      <c r="G17" s="112" t="n">
        <f aca="false">($B17*$B$7+$C17*$C$7)/100</f>
        <v>1.6098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0.01</v>
      </c>
      <c r="C18" s="146" t="n">
        <v>0.05</v>
      </c>
      <c r="D18" s="111"/>
      <c r="E18" s="147" t="s">
        <v>53</v>
      </c>
      <c r="F18" s="143"/>
      <c r="G18" s="112" t="n">
        <f aca="false">($B18*$B$7+$C18*$C$7)/100</f>
        <v>0.0108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1.6206</v>
      </c>
      <c r="G19" s="156" t="n">
        <f aca="false">SUM(G16:G18)</f>
        <v>1.6206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1.518</v>
      </c>
      <c r="C20" s="166" t="n">
        <f aca="false">SUM(C23:C82)</f>
        <v>6.55</v>
      </c>
      <c r="D20" s="167"/>
      <c r="E20" s="168" t="s">
        <v>53</v>
      </c>
      <c r="F20" s="169" t="n">
        <f aca="false">($B20*$B$7+$C20*$C$7)/100</f>
        <v>1.61864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1.48764</v>
      </c>
      <c r="C21" s="179" t="n">
        <f aca="false">C20*C7/100</f>
        <v>0.131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1.61864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2.75" hidden="false" customHeight="false" outlineLevel="0" collapsed="false">
      <c r="A23" s="203" t="s">
        <v>15</v>
      </c>
      <c r="B23" s="204" t="n">
        <v>0.01</v>
      </c>
      <c r="C23" s="205" t="n">
        <v>0.01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Glyceria fluitans</v>
      </c>
      <c r="E23" s="206" t="e">
        <f aca="false">IF(D23="",0,VLOOKUP(D23,D$22:D22,1,0))</f>
        <v>#N/A</v>
      </c>
      <c r="F23" s="207" t="n">
        <f aca="false">($B23*$B$7+$C23*$C$7)/100</f>
        <v>0.01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PHe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8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14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Glyceria fluitans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1564</v>
      </c>
      <c r="Q23" s="215" t="n">
        <f aca="false">IF(ISTEXT(H23),"",(B23*$B$7/100)+(C23*$C$7/100))</f>
        <v>0.01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14</v>
      </c>
      <c r="T23" s="216" t="n">
        <f aca="false">IF(ISERROR(R23*I23*J23),0,R23*I23*J23)</f>
        <v>28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GLYFLU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575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77</v>
      </c>
      <c r="B24" s="223" t="n">
        <v>0</v>
      </c>
      <c r="C24" s="224" t="n">
        <v>0.01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Mentha aquatica</v>
      </c>
      <c r="E24" s="225" t="e">
        <f aca="false">IF(D24="",0,VLOOKUP(D24,D$22:D23,1,0))</f>
        <v>#N/A</v>
      </c>
      <c r="F24" s="226" t="n">
        <f aca="false">($B24*$B$7+$C24*$C$7)/100</f>
        <v>0.0002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PHe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8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Mentha aquatica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1791</v>
      </c>
      <c r="Q24" s="215" t="n">
        <f aca="false">IF(ISTEXT(H24),"",(B24*$B$7/100)+(C24*$C$7/100))</f>
        <v>0.0002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12</v>
      </c>
      <c r="T24" s="216" t="n">
        <f aca="false">IF(ISERROR(R24*I24*J24),0,R24*I24*J24)</f>
        <v>12</v>
      </c>
      <c r="U24" s="228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MENAQU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607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78</v>
      </c>
      <c r="B25" s="223" t="n">
        <v>0</v>
      </c>
      <c r="C25" s="224" t="n">
        <v>0.01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Mentha longifolia</v>
      </c>
      <c r="E25" s="225" t="e">
        <f aca="false">IF(D25="",0,VLOOKUP(D25,D$22:D24,1,0))</f>
        <v>#N/A</v>
      </c>
      <c r="F25" s="226" t="n">
        <f aca="false">($B25*$B$7+$C25*$C$7)/100</f>
        <v>0.0002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PHe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8</v>
      </c>
      <c r="I25" s="210" t="str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/>
      </c>
      <c r="J25" s="210" t="str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/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Mentha longifolia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19856</v>
      </c>
      <c r="Q25" s="215" t="n">
        <f aca="false">IF(ISTEXT(H25),"",(B25*$B$7/100)+(C25*$C$7/100))</f>
        <v>0.0002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MENLON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609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</v>
      </c>
      <c r="C26" s="224" t="n">
        <v>0.01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/>
      </c>
      <c r="E26" s="225" t="n">
        <f aca="false">IF(D26="",0,VLOOKUP(D26,D$22:D25,1,0))</f>
        <v>0</v>
      </c>
      <c r="F26" s="226" t="n">
        <f aca="false">($B26*$B$7+$C26*$C$7)/100</f>
        <v>0.0002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    -</v>
      </c>
      <c r="H26" s="209" t="str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x</v>
      </c>
      <c r="I26" s="210" t="str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/>
      </c>
      <c r="J26" s="210" t="str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/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Salix elaeagnos </v>
      </c>
      <c r="L26" s="227"/>
      <c r="M26" s="227"/>
      <c r="N26" s="227"/>
      <c r="O26" s="213"/>
      <c r="P26" s="214" t="str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No</v>
      </c>
      <c r="Q26" s="215" t="str">
        <f aca="false">IF(ISTEXT(H26),"",(B26*$B$7/100)+(C26*$C$7/100))</f>
        <v/>
      </c>
      <c r="R26" s="216" t="str">
        <f aca="false">IF(OR(ISTEXT(H26),Q26=0),"",IF(Q26&lt;0.1,1,IF(Q26&lt;1,2,IF(Q26&lt;10,3,IF(Q26&lt;50,4,IF(Q26&gt;=50,5,""))))))</f>
        <v/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newcod</v>
      </c>
      <c r="Z26" s="10" t="str">
        <f aca="false">IF(ISERROR(MATCH(A26,'[1]liste reference'!$A$8:$A$904,0)),IF(ISERROR(MATCH(A26,'[1]liste reference'!$B$8:$B$904,0)),"",(MATCH(A26,'[1]liste reference'!$B$8:$B$904,0))),(MATCH(A26,'[1]liste reference'!$A$8:$A$904,0)))</f>
        <v/>
      </c>
      <c r="AA26" s="220"/>
      <c r="AB26" s="221" t="s">
        <v>80</v>
      </c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79</v>
      </c>
      <c r="B27" s="223" t="n">
        <v>0</v>
      </c>
      <c r="C27" s="224" t="n">
        <v>0.01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/>
      </c>
      <c r="E27" s="225" t="n">
        <f aca="false">IF(D27="",0,VLOOKUP(D27,D$22:D26,1,0))</f>
        <v>0</v>
      </c>
      <c r="F27" s="226" t="n">
        <f aca="false">($B27*$B$7+$C27*$C$7)/100</f>
        <v>0.0002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    -</v>
      </c>
      <c r="H27" s="209" t="str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x</v>
      </c>
      <c r="I27" s="210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0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Salix purpurea</v>
      </c>
      <c r="L27" s="227"/>
      <c r="M27" s="227"/>
      <c r="N27" s="227"/>
      <c r="O27" s="213"/>
      <c r="P27" s="214" t="str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No</v>
      </c>
      <c r="Q27" s="215" t="str">
        <f aca="false">IF(ISTEXT(H27),"",(B27*$B$7/100)+(C27*$C$7/100))</f>
        <v/>
      </c>
      <c r="R27" s="216" t="str">
        <f aca="false">IF(OR(ISTEXT(H27),Q27=0),"",IF(Q27&lt;0.1,1,IF(Q27&lt;1,2,IF(Q27&lt;10,3,IF(Q27&lt;50,4,IF(Q27&gt;=50,5,""))))))</f>
        <v/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newcod</v>
      </c>
      <c r="Z27" s="10" t="str">
        <f aca="false">IF(ISERROR(MATCH(A27,'[1]liste reference'!$A$8:$A$904,0)),IF(ISERROR(MATCH(A27,'[1]liste reference'!$B$8:$B$904,0)),"",(MATCH(A27,'[1]liste reference'!$B$8:$B$904,0))),(MATCH(A27,'[1]liste reference'!$A$8:$A$904,0)))</f>
        <v/>
      </c>
      <c r="AA27" s="220"/>
      <c r="AB27" s="221" t="s">
        <v>81</v>
      </c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79</v>
      </c>
      <c r="B28" s="223" t="n">
        <v>1.508</v>
      </c>
      <c r="C28" s="224" t="n">
        <v>6.5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/>
      </c>
      <c r="E28" s="225" t="n">
        <f aca="false">IF(D28="",0,VLOOKUP(D28,D$22:D27,1,0))</f>
        <v>0</v>
      </c>
      <c r="F28" s="226" t="n">
        <f aca="false">($B28*$B$7+$C28*$C$7)/100</f>
        <v>1.60784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    -</v>
      </c>
      <c r="H28" s="209" t="str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x</v>
      </c>
      <c r="I28" s="210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0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Diatomées coloniales autres que Diatoma sp.</v>
      </c>
      <c r="L28" s="227"/>
      <c r="M28" s="227"/>
      <c r="N28" s="227"/>
      <c r="O28" s="213"/>
      <c r="P28" s="214" t="str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No</v>
      </c>
      <c r="Q28" s="215" t="str">
        <f aca="false">IF(ISTEXT(H28),"",(B28*$B$7/100)+(C28*$C$7/100))</f>
        <v/>
      </c>
      <c r="R28" s="216" t="str">
        <f aca="false">IF(OR(ISTEXT(H28),Q28=0),"",IF(Q28&lt;0.1,1,IF(Q28&lt;1,2,IF(Q28&lt;10,3,IF(Q28&lt;50,4,IF(Q28&gt;=50,5,""))))))</f>
        <v/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newcod</v>
      </c>
      <c r="Z28" s="10" t="str">
        <f aca="false">IF(ISERROR(MATCH(A28,'[1]liste reference'!$A$8:$A$904,0)),IF(ISERROR(MATCH(A28,'[1]liste reference'!$B$8:$B$904,0)),"",(MATCH(A28,'[1]liste reference'!$B$8:$B$904,0))),(MATCH(A28,'[1]liste reference'!$A$8:$A$904,0)))</f>
        <v/>
      </c>
      <c r="AA28" s="220"/>
      <c r="AB28" s="221" t="s">
        <v>82</v>
      </c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09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10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0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20"/>
      <c r="AB29" s="221" t="s">
        <v>83</v>
      </c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LEZ</v>
      </c>
      <c r="B84" s="258" t="str">
        <f aca="false">C3</f>
        <v>LEZ A TAULIGNAN</v>
      </c>
      <c r="C84" s="259" t="n">
        <f aca="false">A4</f>
        <v>41443</v>
      </c>
      <c r="D84" s="260" t="n">
        <f aca="false">IF(ISERROR(SUM($T$23:$T$82)/SUM($U$23:$U$82)),"",SUM($T$23:$T$82)/SUM($U$23:$U$82))</f>
        <v>13.3333333333333</v>
      </c>
      <c r="E84" s="261" t="n">
        <f aca="false">N13</f>
        <v>6</v>
      </c>
      <c r="F84" s="258" t="n">
        <f aca="false">N14</f>
        <v>2</v>
      </c>
      <c r="G84" s="258" t="n">
        <f aca="false">N15</f>
        <v>1</v>
      </c>
      <c r="H84" s="258" t="n">
        <f aca="false">N16</f>
        <v>1</v>
      </c>
      <c r="I84" s="258" t="n">
        <f aca="false">N17</f>
        <v>0</v>
      </c>
      <c r="J84" s="262" t="n">
        <f aca="false">N8</f>
        <v>13</v>
      </c>
      <c r="K84" s="260" t="n">
        <f aca="false">N9</f>
        <v>1</v>
      </c>
      <c r="L84" s="261" t="n">
        <f aca="false">N10</f>
        <v>12</v>
      </c>
      <c r="M84" s="261" t="n">
        <f aca="false">N11</f>
        <v>14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1.61864</v>
      </c>
      <c r="S84" s="261" t="n">
        <f aca="false">K11</f>
        <v>0</v>
      </c>
      <c r="T84" s="261" t="n">
        <f aca="false">K12</f>
        <v>0</v>
      </c>
      <c r="U84" s="261" t="n">
        <f aca="false">K13</f>
        <v>0</v>
      </c>
      <c r="V84" s="263" t="n">
        <f aca="false">K14</f>
        <v>0</v>
      </c>
      <c r="W84" s="264" t="n">
        <f aca="false">K15</f>
        <v>3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7" t="n">
        <f aca="false">VLOOKUP(MAX($S$23:$S$82),($S$23:$U$82),1,0)</f>
        <v>14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7" t="n">
        <f aca="false">VLOOKUP((S87),($S$23:$U$82),2,0)</f>
        <v>28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7" t="n">
        <f aca="false">IF(ISERROR(SUM($T$23:$T$82)/SUM($U$23:$U$82)),"",(SUM($T$23:$T$82)-S88)/(SUM($U$23:$U$82)-S89))</f>
        <v>12</v>
      </c>
      <c r="T90" s="10"/>
    </row>
    <row r="91" customFormat="false" ht="12.75" hidden="false" customHeight="false" outlineLevel="0" collapsed="false">
      <c r="Q91" s="216" t="s">
        <v>90</v>
      </c>
      <c r="R91" s="216"/>
      <c r="S91" s="216" t="str">
        <f aca="false">INDEX('[1]liste reference'!$A$8:$A$904,$T$91)</f>
        <v>GLYFLU</v>
      </c>
      <c r="T91" s="10" t="n">
        <f aca="false">IF(ISERROR(MATCH($S$93,'[1]liste reference'!$A$8:$A$904,0)),MATCH($S$93,'[1]liste reference'!$B$8:$B$904,0),(MATCH($S$93,'[1]liste reference'!$A$8:$A$904,0)))</f>
        <v>575</v>
      </c>
      <c r="U91" s="256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92</v>
      </c>
      <c r="R93" s="10"/>
      <c r="S93" s="216" t="str">
        <f aca="false">INDEX($A$23:$A$82,$S$92)</f>
        <v>GLYFLU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2013-12-06T14:41:32Z</dcterms:created>
  <dc:creator>Laurent Bourgoin</dc:creator>
  <dc:description/>
  <dc:language>fr-FR</dc:language>
  <cp:lastModifiedBy>Laurent Bourgoin</cp:lastModifiedBy>
  <dcterms:modified xsi:type="dcterms:W3CDTF">2013-12-06T14:45:49Z</dcterms:modified>
  <cp:revision>0</cp:revision>
  <dc:subject/>
  <dc:title/>
</cp:coreProperties>
</file>