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<sst xmlns="http://schemas.openxmlformats.org/spreadsheetml/2006/main" count="170" uniqueCount="105">
  <si>
    <t xml:space="preserve">Relevés floristiques aquatiques - IBMR</t>
  </si>
  <si>
    <t xml:space="preserve">modèle Irstea-GIS</t>
  </si>
  <si>
    <t xml:space="preserve">SAGE</t>
  </si>
  <si>
    <t xml:space="preserve">L. BOURGOIN C. BERNARD</t>
  </si>
  <si>
    <t xml:space="preserve">LEZ</t>
  </si>
  <si>
    <t xml:space="preserve">LEZ A TAULIGNAN</t>
  </si>
  <si>
    <t xml:space="preserve">06117220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</si>
  <si>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</si>
  <si>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</si>
  <si>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</si>
  <si>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</si>
  <si>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</si>
  <si>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</si>
  <si>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</si>
  <si>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</si>
  <si>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</si>
  <si>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DRASPX</t>
  </si>
  <si>
    <t xml:space="preserve">Faciès dominant</t>
  </si>
  <si>
    <t xml:space="preserve">radier</t>
  </si>
  <si>
    <t xml:space="preserve">autre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</si>
  <si>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</si>
  <si>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</si>
  <si>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</si>
  <si>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</si>
  <si>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</si>
  <si>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</si>
  <si>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</si>
  <si>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</si>
  <si>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</si>
  <si>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</si>
  <si>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</si>
  <si>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</si>
  <si>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</si>
  <si>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</si>
  <si>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</si>
  <si>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</si>
  <si>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</si>
  <si>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</si>
  <si>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</si>
  <si>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</si>
  <si>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</si>
  <si>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</si>
  <si>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</si>
  <si>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</si>
  <si>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</si>
  <si>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</si>
  <si>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</si>
  <si>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</si>
  <si>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</si>
  <si>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</si>
  <si>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</si>
  <si>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</si>
  <si>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</si>
  <si>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</si>
  <si>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</si>
  <si>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</si>
  <si>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</si>
  <si>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</si>
  <si>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</si>
  <si>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</si>
  <si>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</si>
  <si>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</si>
  <si>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</si>
  <si>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</si>
  <si>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</si>
  <si>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</si>
  <si>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</si>
  <si>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</si>
  <si>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</si>
  <si>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</si>
  <si>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</si>
  <si>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</si>
  <si>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</si>
  <si>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</si>
  <si>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</si>
  <si>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</si>
  <si>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</si>
  <si>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</si>
  <si>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BATSPX</t>
  </si>
  <si>
    <t xml:space="preserve"> -</t>
  </si>
  <si>
    <t xml:space="preserve">CHESPX</t>
  </si>
  <si>
    <t xml:space="preserve">CLASPX</t>
  </si>
  <si>
    <t xml:space="preserve">ENCSPX</t>
  </si>
  <si>
    <t xml:space="preserve">HOMSPX</t>
  </si>
  <si>
    <t xml:space="preserve">OEDSPX</t>
  </si>
  <si>
    <t xml:space="preserve">PHOSPX</t>
  </si>
  <si>
    <t xml:space="preserve">SPISPX</t>
  </si>
  <si>
    <t xml:space="preserve">TOYSPX</t>
  </si>
  <si>
    <t xml:space="preserve">VAUSPX</t>
  </si>
  <si>
    <t xml:space="preserve">ZYGSPX</t>
  </si>
  <si>
    <t xml:space="preserve">BRYSPX</t>
  </si>
  <si>
    <t xml:space="preserve">EQUSPX</t>
  </si>
  <si>
    <t xml:space="preserve">GLYFLU</t>
  </si>
  <si>
    <t xml:space="preserve">MENLON</t>
  </si>
  <si>
    <t xml:space="preserve">NASOFF</t>
  </si>
  <si>
    <t xml:space="preserve">JUNART</t>
  </si>
  <si>
    <t xml:space="preserve">MENXNI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</si>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</sst>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LEZTA_20-05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42144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11.8260869565217</v>
      </c>
      <c r="N5" s="51"/>
      <c r="O5" s="52" t="s">
        <v>16</v>
      </c>
      <c r="P5" s="53" t="n">
        <v>10.9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3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95</v>
      </c>
      <c r="C7" s="69" t="n">
        <v>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11.1818181818182</v>
      </c>
      <c r="P8" s="83" t="n">
        <f aca="false">IF(ISERROR(AVERAGE(K23:K82)),"  ",AVERAGE(K23:K82))</f>
        <v>1.81818181818182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0.39</v>
      </c>
      <c r="C9" s="86" t="n">
        <v>65.16</v>
      </c>
      <c r="D9" s="87"/>
      <c r="E9" s="87"/>
      <c r="F9" s="88" t="n">
        <f aca="false">($B9*$B$7+$C9*$C$7)/100</f>
        <v>3.6285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4.17390555754509</v>
      </c>
      <c r="P9" s="83" t="n">
        <f aca="false">IF(ISERROR(STDEVP(K23:K82)),"  ",STDEVP(K23:K82))</f>
        <v>0.715818897637437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/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18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0.38</v>
      </c>
      <c r="C12" s="111" t="n">
        <v>65.09</v>
      </c>
      <c r="D12" s="87"/>
      <c r="E12" s="87"/>
      <c r="F12" s="104" t="n">
        <f aca="false">($B12*$B$7+$C12*$C$7)/100</f>
        <v>3.6155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12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/>
      <c r="C13" s="111" t="n">
        <v>0.01</v>
      </c>
      <c r="D13" s="87"/>
      <c r="E13" s="87"/>
      <c r="F13" s="104" t="n">
        <f aca="false">($B13*$B$7+$C13*$C$7)/100</f>
        <v>0.0005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1</v>
      </c>
      <c r="M13" s="108"/>
      <c r="N13" s="116" t="s">
        <v>40</v>
      </c>
      <c r="O13" s="117" t="n">
        <f aca="false">COUNTIF(F23:F82,"&gt;0")</f>
        <v>19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 t="n">
        <v>0.01</v>
      </c>
      <c r="D14" s="87"/>
      <c r="E14" s="87"/>
      <c r="F14" s="104" t="n">
        <f aca="false">($B14*$B$7+$C14*$C$7)/100</f>
        <v>0.0005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1</v>
      </c>
      <c r="M14" s="108"/>
      <c r="N14" s="119" t="s">
        <v>43</v>
      </c>
      <c r="O14" s="120" t="n">
        <f aca="false">COUNTIF($J$23:$J$82,"&gt;-1")</f>
        <v>11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 t="n">
        <v>0.01</v>
      </c>
      <c r="C15" s="124" t="n">
        <v>0.05</v>
      </c>
      <c r="D15" s="87"/>
      <c r="E15" s="87"/>
      <c r="F15" s="104" t="n">
        <f aca="false">($B15*$B$7+$C15*$C$7)/100</f>
        <v>0.012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5</v>
      </c>
      <c r="M15" s="108"/>
      <c r="N15" s="116" t="s">
        <v>46</v>
      </c>
      <c r="O15" s="117" t="n">
        <f aca="false">COUNTIF(K23:K82,"=1")</f>
        <v>4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5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0.38</v>
      </c>
      <c r="C17" s="111" t="n">
        <v>65.1</v>
      </c>
      <c r="D17" s="87"/>
      <c r="E17" s="87"/>
      <c r="F17" s="129"/>
      <c r="G17" s="130" t="n">
        <f aca="false">($B17*$B$7+$C17*$C$7)/100</f>
        <v>3.616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0.578947368421053</v>
      </c>
      <c r="N17" s="116" t="s">
        <v>51</v>
      </c>
      <c r="O17" s="117" t="n">
        <f aca="false">COUNTIF(K23:K82,"=3")</f>
        <v>2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 t="n">
        <v>0.01</v>
      </c>
      <c r="C18" s="138" t="n">
        <v>0.06</v>
      </c>
      <c r="D18" s="87"/>
      <c r="E18" s="139" t="s">
        <v>53</v>
      </c>
      <c r="F18" s="129"/>
      <c r="G18" s="130" t="n">
        <f aca="false">($B18*$B$7+$C18*$C$7)/100</f>
        <v>0.0125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3.6285</v>
      </c>
      <c r="G19" s="150" t="n">
        <f aca="false">SUM(G16:G18)</f>
        <v>3.6285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0.39</v>
      </c>
      <c r="C20" s="160" t="n">
        <f aca="false">SUM(C23:C62)</f>
        <v>65.16</v>
      </c>
      <c r="D20" s="161"/>
      <c r="E20" s="162" t="s">
        <v>53</v>
      </c>
      <c r="F20" s="163" t="n">
        <f aca="false">($B20*$B$7+$C20*$C$7)/100</f>
        <v>3.6285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0.3705</v>
      </c>
      <c r="C21" s="171" t="n">
        <f aca="false">C20*C7/100</f>
        <v>3.258</v>
      </c>
      <c r="D21" s="172" t="s">
        <v>56</v>
      </c>
      <c r="E21" s="173"/>
      <c r="F21" s="174" t="n">
        <f aca="false">B21+C21</f>
        <v>3.6285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0.05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Batrachospermum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0.0475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Batrachospermum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1155</v>
      </c>
      <c r="R23" s="211" t="n">
        <f aca="false">IF(ISTEXT(H23),"",(B23*$B$7/100)+(C23*$C$7/100))</f>
        <v>0.0475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16</v>
      </c>
      <c r="U23" s="212" t="n">
        <f aca="false">IF(ISERROR(S23*J23*K23),0,S23*J23*K23)</f>
        <v>32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BATSPX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10</v>
      </c>
    </row>
    <row r="24" customFormat="false" ht="12.75" hidden="false" customHeight="false" outlineLevel="0" collapsed="false">
      <c r="A24" s="216" t="s">
        <v>80</v>
      </c>
      <c r="B24" s="217" t="n">
        <v>0.01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Chaetophora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Chaetophora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1117</v>
      </c>
      <c r="R24" s="211" t="n">
        <f aca="false">IF(ISTEXT(H24),"",(B24*$B$7/100)+(C24*$C$7/100))</f>
        <v>0.01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CHESPX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14</v>
      </c>
    </row>
    <row r="25" customFormat="false" ht="12.75" hidden="false" customHeight="false" outlineLevel="0" collapsed="false">
      <c r="A25" s="216" t="s">
        <v>81</v>
      </c>
      <c r="B25" s="217" t="n">
        <v>0.14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Cladophora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0.133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Cladophora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1124</v>
      </c>
      <c r="R25" s="211" t="n">
        <f aca="false">IF(ISTEXT(H25),"",(B25*$B$7/100)+(C25*$C$7/100))</f>
        <v>0.133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12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CLASPX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35</v>
      </c>
    </row>
    <row r="26" customFormat="false" ht="12.75" hidden="false" customHeight="false" outlineLevel="0" collapsed="false">
      <c r="A26" s="216" t="s">
        <v>16</v>
      </c>
      <c r="B26" s="217" t="n">
        <v>0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Draparnaldia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0.0005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18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3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Draparnaldia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1118</v>
      </c>
      <c r="R26" s="211" t="n">
        <f aca="false">IF(ISTEXT(H26),"",(B26*$B$7/100)+(C26*$C$7/100))</f>
        <v>0.0005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18</v>
      </c>
      <c r="U26" s="212" t="n">
        <f aca="false">IF(ISERROR(S26*J26*K26),0,S26*J26*K26)</f>
        <v>54</v>
      </c>
      <c r="V26" s="228" t="n">
        <f aca="false">IF(ISERROR(S26*K26),0,S26*K26)</f>
        <v>3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DRASPX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42</v>
      </c>
    </row>
    <row r="27" customFormat="false" ht="12.75" hidden="false" customHeight="false" outlineLevel="0" collapsed="false">
      <c r="A27" s="216" t="s">
        <v>82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Encyonema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0.0005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nc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nc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Encyonema sp.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9378</v>
      </c>
      <c r="R27" s="211" t="n">
        <f aca="false">IF(ISTEXT(H27),"",(B27*$B$7/100)+(C27*$C$7/100))</f>
        <v>0.0005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ENCSPX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45</v>
      </c>
    </row>
    <row r="28" customFormat="false" ht="12.75" hidden="false" customHeight="false" outlineLevel="0" collapsed="false">
      <c r="A28" s="216" t="s">
        <v>83</v>
      </c>
      <c r="B28" s="217" t="n">
        <v>0.03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Homoeothrix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0.0285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nc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nc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Homoeothrix sp.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6395</v>
      </c>
      <c r="R28" s="211" t="n">
        <f aca="false">IF(ISTEXT(H28),"",(B28*$B$7/100)+(C28*$C$7/100))</f>
        <v>0.0285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HOMSPX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54</v>
      </c>
    </row>
    <row r="29" customFormat="false" ht="12.75" hidden="false" customHeight="false" outlineLevel="0" collapsed="false">
      <c r="A29" s="216" t="s">
        <v>84</v>
      </c>
      <c r="B29" s="217" t="n">
        <v>0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Oedogonium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0.0005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6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Oedogonium sp.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1134</v>
      </c>
      <c r="R29" s="211" t="n">
        <f aca="false">IF(ISTEXT(H29),"",(B29*$B$7/100)+(C29*$C$7/100))</f>
        <v>0.0005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6</v>
      </c>
      <c r="U29" s="212" t="n">
        <f aca="false">IF(ISERROR(S29*J29*K29),0,S29*J29*K29)</f>
        <v>12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OEDSPX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85</v>
      </c>
    </row>
    <row r="30" customFormat="false" ht="12.75" hidden="false" customHeight="false" outlineLevel="0" collapsed="false">
      <c r="A30" s="216" t="s">
        <v>85</v>
      </c>
      <c r="B30" s="217" t="n">
        <v>0.01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Phormidium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0.0095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13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Phormidium sp.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6414</v>
      </c>
      <c r="R30" s="211" t="n">
        <f aca="false">IF(ISTEXT(H30),"",(B30*$B$7/100)+(C30*$C$7/100))</f>
        <v>0.0095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13</v>
      </c>
      <c r="U30" s="212" t="n">
        <f aca="false">IF(ISERROR(S30*J30*K30),0,S30*J30*K30)</f>
        <v>26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PHOSPX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88</v>
      </c>
    </row>
    <row r="31" customFormat="false" ht="12.75" hidden="false" customHeight="false" outlineLevel="0" collapsed="false">
      <c r="A31" s="216" t="s">
        <v>86</v>
      </c>
      <c r="B31" s="217" t="n">
        <v>0.03</v>
      </c>
      <c r="C31" s="218" t="n">
        <v>65.02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Spirogyra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3.2795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Spirogyra sp.</v>
      </c>
      <c r="M31" s="225"/>
      <c r="N31" s="225"/>
      <c r="O31" s="225"/>
      <c r="P31" s="226" t="s">
        <v>79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1147</v>
      </c>
      <c r="R31" s="211" t="n">
        <f aca="false">IF(ISTEXT(H31),"",(B31*$B$7/100)+(C31*$C$7/100))</f>
        <v>3.2795</v>
      </c>
      <c r="S31" s="212" t="n">
        <f aca="false">IF(OR(ISTEXT(H31),R31=0),"",IF(R31&lt;0.1,1,IF(R31&lt;1,2,IF(R31&lt;10,3,IF(R31&lt;50,4,IF(R31&gt;=50,5,""))))))</f>
        <v>3</v>
      </c>
      <c r="T31" s="212" t="n">
        <f aca="false">IF(ISERROR(S31*J31),0,S31*J31)</f>
        <v>30</v>
      </c>
      <c r="U31" s="212" t="n">
        <f aca="false">IF(ISERROR(S31*J31*K31),0,S31*J31*K31)</f>
        <v>30</v>
      </c>
      <c r="V31" s="228" t="n">
        <f aca="false">IF(ISERROR(S31*K31),0,S31*K31)</f>
        <v>3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102</v>
      </c>
    </row>
    <row r="32" customFormat="false" ht="12.75" hidden="false" customHeight="false" outlineLevel="0" collapsed="false">
      <c r="A32" s="216" t="s">
        <v>87</v>
      </c>
      <c r="B32" s="217" t="n">
        <v>0.1</v>
      </c>
      <c r="C32" s="218" t="n">
        <v>0.02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Tolypothrix sp.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0.096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ALG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2</v>
      </c>
      <c r="I32" s="8" t="n">
        <f aca="false">IF(A32="","",1)</f>
        <v>1</v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Tolypothrix sp.</v>
      </c>
      <c r="M32" s="225"/>
      <c r="N32" s="225"/>
      <c r="O32" s="225"/>
      <c r="P32" s="226" t="s">
        <v>79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6304</v>
      </c>
      <c r="R32" s="211" t="n">
        <f aca="false">IF(ISTEXT(H32),"",(B32*$B$7/100)+(C32*$C$7/100))</f>
        <v>0.096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TOYSPX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113</v>
      </c>
    </row>
    <row r="33" customFormat="false" ht="12.75" hidden="false" customHeight="false" outlineLevel="0" collapsed="false">
      <c r="A33" s="216" t="s">
        <v>88</v>
      </c>
      <c r="B33" s="217" t="n">
        <v>0.01</v>
      </c>
      <c r="C33" s="218" t="n">
        <v>0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Vaucheria sp.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0.0095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ALG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2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4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Vaucheria sp.</v>
      </c>
      <c r="M33" s="225"/>
      <c r="N33" s="225"/>
      <c r="O33" s="225"/>
      <c r="P33" s="226" t="s">
        <v>79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1169</v>
      </c>
      <c r="R33" s="211" t="n">
        <f aca="false">IF(ISTEXT(H33),"",(B33*$B$7/100)+(C33*$C$7/100))</f>
        <v>0.0095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4</v>
      </c>
      <c r="U33" s="212" t="n">
        <f aca="false">IF(ISERROR(S33*J33*K33),0,S33*J33*K33)</f>
        <v>4</v>
      </c>
      <c r="V33" s="228" t="n">
        <f aca="false">IF(ISERROR(S33*K33),0,S33*K33)</f>
        <v>1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VAUSPX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118</v>
      </c>
    </row>
    <row r="34" customFormat="false" ht="12.75" hidden="false" customHeight="false" outlineLevel="0" collapsed="false">
      <c r="A34" s="216" t="s">
        <v>89</v>
      </c>
      <c r="B34" s="217" t="n">
        <v>0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Zygnema sp.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0.0005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ALG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2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13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3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Zygnema sp.</v>
      </c>
      <c r="M34" s="225"/>
      <c r="N34" s="225"/>
      <c r="O34" s="225"/>
      <c r="P34" s="226" t="s">
        <v>79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1148</v>
      </c>
      <c r="R34" s="211" t="n">
        <f aca="false">IF(ISTEXT(H34),"",(B34*$B$7/100)+(C34*$C$7/100))</f>
        <v>0.0005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13</v>
      </c>
      <c r="U34" s="212" t="n">
        <f aca="false">IF(ISERROR(S34*J34*K34),0,S34*J34*K34)</f>
        <v>39</v>
      </c>
      <c r="V34" s="228" t="n">
        <f aca="false">IF(ISERROR(S34*K34),0,S34*K34)</f>
        <v>3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ZYGSPX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119</v>
      </c>
    </row>
    <row r="35" customFormat="false" ht="12.75" hidden="false" customHeight="false" outlineLevel="0" collapsed="false">
      <c r="A35" s="216" t="s">
        <v>90</v>
      </c>
      <c r="B35" s="217" t="n">
        <v>0</v>
      </c>
      <c r="C35" s="218" t="n">
        <v>0.01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Bryum sp.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0.0005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BRm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5</v>
      </c>
      <c r="I35" s="8" t="n">
        <f aca="false">IF(A35="","",1)</f>
        <v>1</v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Bryum sp.</v>
      </c>
      <c r="M35" s="225"/>
      <c r="N35" s="225"/>
      <c r="O35" s="225"/>
      <c r="P35" s="226" t="s">
        <v>79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1272</v>
      </c>
      <c r="R35" s="211" t="n">
        <f aca="false">IF(ISTEXT(H35),"",(B35*$B$7/100)+(C35*$C$7/100))</f>
        <v>0.0005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BRYSPX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213</v>
      </c>
    </row>
    <row r="36" customFormat="false" ht="12.75" hidden="false" customHeight="false" outlineLevel="0" collapsed="false">
      <c r="A36" s="216" t="s">
        <v>91</v>
      </c>
      <c r="B36" s="217" t="n">
        <v>0</v>
      </c>
      <c r="C36" s="218" t="n">
        <v>0.01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Equisetum sp.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0.0005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PTE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6</v>
      </c>
      <c r="I36" s="8" t="n">
        <f aca="false">IF(A36="","",1)</f>
        <v>1</v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nc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nc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Equisetum sp.</v>
      </c>
      <c r="M36" s="225"/>
      <c r="N36" s="225"/>
      <c r="O36" s="225"/>
      <c r="P36" s="226" t="s">
        <v>79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1383</v>
      </c>
      <c r="R36" s="211" t="n">
        <f aca="false">IF(ISTEXT(H36),"",(B36*$B$7/100)+(C36*$C$7/100))</f>
        <v>0.0005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EQUSPX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391</v>
      </c>
    </row>
    <row r="37" customFormat="false" ht="12.75" hidden="false" customHeight="false" outlineLevel="0" collapsed="false">
      <c r="A37" s="216" t="s">
        <v>92</v>
      </c>
      <c r="B37" s="217" t="n">
        <v>0.01</v>
      </c>
      <c r="C37" s="218" t="n">
        <v>0.01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Glyceria fluitans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0.01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PHe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8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14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Glyceria fluitans</v>
      </c>
      <c r="M37" s="225"/>
      <c r="N37" s="225"/>
      <c r="O37" s="225"/>
      <c r="P37" s="226" t="s">
        <v>79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1564</v>
      </c>
      <c r="R37" s="211" t="n">
        <f aca="false">IF(ISTEXT(H37),"",(B37*$B$7/100)+(C37*$C$7/100))</f>
        <v>0.01</v>
      </c>
      <c r="S37" s="212" t="n">
        <f aca="false">IF(OR(ISTEXT(H37),R37=0),"",IF(R37&lt;0.1,1,IF(R37&lt;1,2,IF(R37&lt;10,3,IF(R37&lt;50,4,IF(R37&gt;=50,5,""))))))</f>
        <v>1</v>
      </c>
      <c r="T37" s="212" t="n">
        <f aca="false">IF(ISERROR(S37*J37),0,S37*J37)</f>
        <v>14</v>
      </c>
      <c r="U37" s="212" t="n">
        <f aca="false">IF(ISERROR(S37*J37*K37),0,S37*J37*K37)</f>
        <v>28</v>
      </c>
      <c r="V37" s="228" t="n">
        <f aca="false">IF(ISERROR(S37*K37),0,S37*K37)</f>
        <v>2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GLYFLU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676</v>
      </c>
    </row>
    <row r="38" customFormat="false" ht="12.75" hidden="false" customHeight="false" outlineLevel="0" collapsed="false">
      <c r="A38" s="216" t="s">
        <v>93</v>
      </c>
      <c r="B38" s="217" t="n">
        <v>0</v>
      </c>
      <c r="C38" s="218" t="n">
        <v>0.01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Mentha longifolia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0.0005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PHe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8</v>
      </c>
      <c r="I38" s="8" t="n">
        <f aca="false">IF(A38="","",1)</f>
        <v>1</v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nc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nc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Mentha longifolia</v>
      </c>
      <c r="M38" s="225"/>
      <c r="N38" s="225"/>
      <c r="O38" s="225"/>
      <c r="P38" s="226" t="s">
        <v>79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19856</v>
      </c>
      <c r="R38" s="211" t="n">
        <f aca="false">IF(ISTEXT(H38),"",(B38*$B$7/100)+(C38*$C$7/100))</f>
        <v>0.0005</v>
      </c>
      <c r="S38" s="212" t="n">
        <f aca="false">IF(OR(ISTEXT(H38),R38=0),"",IF(R38&lt;0.1,1,IF(R38&lt;1,2,IF(R38&lt;10,3,IF(R38&lt;50,4,IF(R38&gt;=50,5,""))))))</f>
        <v>1</v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MENLON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695</v>
      </c>
    </row>
    <row r="39" customFormat="false" ht="12.75" hidden="false" customHeight="false" outlineLevel="0" collapsed="false">
      <c r="A39" s="216" t="s">
        <v>94</v>
      </c>
      <c r="B39" s="217" t="n">
        <v>0</v>
      </c>
      <c r="C39" s="218" t="n">
        <v>0.01</v>
      </c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Nasturtium officinale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0.0005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PHe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8</v>
      </c>
      <c r="I39" s="8" t="n">
        <f aca="false">IF(A39="","",1)</f>
        <v>1</v>
      </c>
      <c r="J39" s="224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11</v>
      </c>
      <c r="K39" s="224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1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Nasturtium officinale</v>
      </c>
      <c r="M39" s="225"/>
      <c r="N39" s="225"/>
      <c r="O39" s="225"/>
      <c r="P39" s="226" t="s">
        <v>79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1763</v>
      </c>
      <c r="R39" s="211" t="n">
        <f aca="false">IF(ISTEXT(H39),"",(B39*$B$7/100)+(C39*$C$7/100))</f>
        <v>0.0005</v>
      </c>
      <c r="S39" s="212" t="n">
        <f aca="false">IF(OR(ISTEXT(H39),R39=0),"",IF(R39&lt;0.1,1,IF(R39&lt;1,2,IF(R39&lt;10,3,IF(R39&lt;50,4,IF(R39&gt;=50,5,""))))))</f>
        <v>1</v>
      </c>
      <c r="T39" s="212" t="n">
        <f aca="false">IF(ISERROR(S39*J39),0,S39*J39)</f>
        <v>11</v>
      </c>
      <c r="U39" s="212" t="n">
        <f aca="false">IF(ISERROR(S39*J39*K39),0,S39*J39*K39)</f>
        <v>11</v>
      </c>
      <c r="V39" s="228" t="n">
        <f aca="false">IF(ISERROR(S39*K39),0,S39*K39)</f>
        <v>1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NASOFF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704</v>
      </c>
    </row>
    <row r="40" customFormat="false" ht="12.75" hidden="false" customHeight="false" outlineLevel="0" collapsed="false">
      <c r="A40" s="216" t="s">
        <v>95</v>
      </c>
      <c r="B40" s="217" t="n">
        <v>0</v>
      </c>
      <c r="C40" s="218" t="n">
        <v>0.01</v>
      </c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Juncus articulatus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0.0005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PHg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9</v>
      </c>
      <c r="I40" s="8" t="n">
        <f aca="false">IF(A40="","",1)</f>
        <v>1</v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nc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nc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Juncus articulatus</v>
      </c>
      <c r="M40" s="225"/>
      <c r="N40" s="225"/>
      <c r="O40" s="225"/>
      <c r="P40" s="226" t="s">
        <v>79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1609</v>
      </c>
      <c r="R40" s="211" t="n">
        <f aca="false">IF(ISTEXT(H40),"",(B40*$B$7/100)+(C40*$C$7/100))</f>
        <v>0.0005</v>
      </c>
      <c r="S40" s="212" t="n">
        <f aca="false">IF(OR(ISTEXT(H40),R40=0),"",IF(R40&lt;0.1,1,IF(R40&lt;1,2,IF(R40&lt;10,3,IF(R40&lt;50,4,IF(R40&gt;=50,5,""))))))</f>
        <v>1</v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JUNART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873</v>
      </c>
    </row>
    <row r="41" customFormat="false" ht="12.75" hidden="false" customHeight="false" outlineLevel="0" collapsed="false">
      <c r="A41" s="216" t="s">
        <v>96</v>
      </c>
      <c r="B41" s="217" t="n">
        <v>0</v>
      </c>
      <c r="C41" s="218" t="n">
        <v>0.01</v>
      </c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Mentha x niliaca 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0.0005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PHg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9</v>
      </c>
      <c r="I41" s="8" t="n">
        <f aca="false">IF(A41="","",1)</f>
        <v>1</v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nc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nc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Mentha x niliaca </v>
      </c>
      <c r="M41" s="225"/>
      <c r="N41" s="225"/>
      <c r="O41" s="225"/>
      <c r="P41" s="226" t="s">
        <v>79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31668</v>
      </c>
      <c r="R41" s="211" t="n">
        <f aca="false">IF(ISTEXT(H41),"",(B41*$B$7/100)+(C41*$C$7/100))</f>
        <v>0.0005</v>
      </c>
      <c r="S41" s="212" t="n">
        <f aca="false">IF(OR(ISTEXT(H41),R41=0),"",IF(R41&lt;0.1,1,IF(R41&lt;1,2,IF(R41&lt;10,3,IF(R41&lt;50,4,IF(R41&gt;=50,5,""))))))</f>
        <v>1</v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MENXNI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906</v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3.6285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23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LEZ</v>
      </c>
      <c r="B84" s="180" t="str">
        <f aca="false">C3</f>
        <v>LEZ A TAULIGNAN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11.8260869565217</v>
      </c>
      <c r="E84" s="254" t="n">
        <f aca="false">O13</f>
        <v>19</v>
      </c>
      <c r="F84" s="180" t="n">
        <f aca="false">O14</f>
        <v>11</v>
      </c>
      <c r="G84" s="180" t="n">
        <f aca="false">O15</f>
        <v>4</v>
      </c>
      <c r="H84" s="180" t="n">
        <f aca="false">O16</f>
        <v>5</v>
      </c>
      <c r="I84" s="180" t="n">
        <f aca="false">O17</f>
        <v>2</v>
      </c>
      <c r="J84" s="255" t="n">
        <f aca="false">O8</f>
        <v>11.1818181818182</v>
      </c>
      <c r="K84" s="256" t="n">
        <f aca="false">O9</f>
        <v>4.17390555754509</v>
      </c>
      <c r="L84" s="257" t="n">
        <f aca="false">O10</f>
        <v>4</v>
      </c>
      <c r="M84" s="257" t="n">
        <f aca="false">O11</f>
        <v>18</v>
      </c>
      <c r="N84" s="256" t="n">
        <f aca="false">P8</f>
        <v>1.81818181818182</v>
      </c>
      <c r="O84" s="256" t="n">
        <f aca="false">P9</f>
        <v>0.715818897637437</v>
      </c>
      <c r="P84" s="257" t="n">
        <f aca="false">P10</f>
        <v>1</v>
      </c>
      <c r="Q84" s="257" t="n">
        <f aca="false">P11</f>
        <v>3</v>
      </c>
      <c r="R84" s="257" t="n">
        <f aca="false">F21</f>
        <v>3.6285</v>
      </c>
      <c r="S84" s="257" t="n">
        <f aca="false">L11</f>
        <v>0</v>
      </c>
      <c r="T84" s="257" t="n">
        <f aca="false">L12</f>
        <v>12</v>
      </c>
      <c r="U84" s="257" t="n">
        <f aca="false">L13</f>
        <v>1</v>
      </c>
      <c r="V84" s="258" t="n">
        <f aca="false">L15</f>
        <v>5</v>
      </c>
      <c r="W84" s="259" t="n">
        <f aca="false">L15</f>
        <v>5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97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98</v>
      </c>
      <c r="S87" s="8"/>
      <c r="T87" s="263" t="n">
        <f aca="false">VLOOKUP($T$91,($A$23:$U$82),20,FALSE())</f>
        <v>18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99</v>
      </c>
      <c r="S88" s="8"/>
      <c r="T88" s="263" t="n">
        <f aca="false">VLOOKUP($T$91,($A$23:$U$82),21,FALSE())</f>
        <v>54</v>
      </c>
      <c r="U88" s="8"/>
      <c r="V88" s="8" t="n">
        <f aca="false">COUNTIF(V23:V82,T89)</f>
        <v>3</v>
      </c>
    </row>
    <row r="89" customFormat="false" ht="12.75" hidden="true" customHeight="false" outlineLevel="0" collapsed="false">
      <c r="C89" s="261"/>
      <c r="D89" s="261"/>
      <c r="E89" s="261"/>
      <c r="R89" s="8" t="s">
        <v>100</v>
      </c>
      <c r="S89" s="8"/>
      <c r="T89" s="263" t="n">
        <f aca="false">MAX($V$23:$V$82)</f>
        <v>3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101</v>
      </c>
      <c r="S90" s="8" t="s">
        <v>10</v>
      </c>
      <c r="T90" s="264" t="n">
        <f aca="false">IF(OR(ISERROR(SUM($U$23:$U$82)/SUM($V$23:$V$82)),F7&lt;&gt;100),-1,(SUM($U$23:$U$82)-T88)/(SUM($V$23:$V$82)-T89))</f>
        <v>10.9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102</v>
      </c>
      <c r="S91" s="212"/>
      <c r="T91" s="212" t="str">
        <f aca="false">INDEX('[1]liste reference'!$A$6:$A$1174,$U$91)</f>
        <v>DRASPX</v>
      </c>
      <c r="U91" s="8" t="n">
        <f aca="false">IF(ISERROR(MATCH($T$93,'[1]liste reference'!$A$6:$A$1174,0)),MATCH($T$93,'[1]liste reference'!$B$6:$B$1174,0),(MATCH($T$93,'[1]liste reference'!$A$6:$A$1174,0)))</f>
        <v>42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103</v>
      </c>
      <c r="S92" s="8"/>
      <c r="T92" s="8" t="n">
        <f aca="false">MATCH(T89,$V$23:$V$82,0)</f>
        <v>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104</v>
      </c>
      <c r="S93" s="8"/>
      <c r="T93" s="212" t="str">
        <f aca="false">INDEX($A$23:$A$82,$T$92)</f>
        <v>DRASPX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2015-12-28T16:19:47Z</dcterms:created>
  <dc:creator>Laboratoire hydrobiologie SAGE</dc:creator>
  <dc:description/>
  <dc:language>fr-FR</dc:language>
  <cp:lastModifiedBy>Laboratoire hydrobiologie SAGE</cp:lastModifiedBy>
  <dcterms:modified xsi:type="dcterms:W3CDTF">2015-12-28T16:19:50Z</dcterms:modified>
  <cp:revision>0</cp:revision>
  <dc:subject/>
  <dc:title/>
</cp:coreProperties>
</file>