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ez à Mondragon" sheetId="6" state="visible" r:id="rId8"/>
    <sheet name="modele" sheetId="7" state="hidden" r:id="rId9"/>
    <sheet name="liste codes réf" sheetId="8" state="hidden" r:id="rId10"/>
  </sheets>
  <definedNames>
    <definedName function="false" hidden="false" localSheetId="5" name="_xlnm.Print_Area" vbProcedure="false">'Lez à Mondragon'!$A$1:$O$82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'Lez à Mondragon'!$A$23:$J$84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<sst xmlns="http://schemas.openxmlformats.org/spreadsheetml/2006/main" count="7336" uniqueCount="2728">
  <si>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</si>
  <si>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</si>
  <si>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</si>
  <si>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</si>
  <si>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</si>
  <si>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</si>
  <si>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</si>
  <si>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</si>
  <si>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</si>
  <si>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</si>
  <si>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</si>
  <si>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</si>
  <si>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</si>
  <si>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</si>
  <si>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</si>
  <si>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</si>
  <si>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</si>
  <si>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</si>
  <si>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</si>
  <si>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</si>
  <si>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</si>
  <si>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</si>
  <si>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</si>
  <si>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</si>
  <si>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</si>
  <si>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</si>
  <si>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</si>
  <si>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</si>
  <si>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</si>
  <si>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</si>
  <si>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</si>
  <si>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</si>
  <si>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</si>
  <si>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</si>
  <si>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</si>
  <si>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</si>
  <si>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</si>
  <si>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</si>
  <si>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</si>
  <si>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</si>
  <si>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</si>
  <si>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</si>
  <si>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</si>
  <si>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</si>
  <si>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</si>
  <si>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</si>
  <si>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</si>
  <si>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</si>
  <si>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</si>
  <si>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</si>
  <si>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</si>
  <si>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</si>
  <si>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</si>
  <si>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</si>
  <si>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</si>
  <si>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</si>
  <si>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</si>
  <si>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</si>
  <si>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</si>
  <si>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</si>
  <si>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</si>
  <si>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</si>
  <si>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</si>
  <si>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</si>
  <si>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</si>
  <si>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</si>
  <si>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</si>
  <si>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</si>
  <si>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</si>
  <si>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</si>
  <si>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</si>
  <si>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</si>
  <si>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</si>
  <si>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</si>
  <si>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</si>
  <si>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</si>
  <si>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</si>
  <si>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</si>
  <si>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</si>
  <si>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</si>
  <si>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</si>
  <si>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</si>
  <si>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</si>
  <si>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</si>
  <si>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</si>
  <si>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</si>
  <si>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</si>
  <si>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</si>
  <si>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</si>
  <si>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</si>
  <si>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</si>
  <si>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</si>
  <si>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</si>
  <si>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</si>
  <si>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</si>
  <si>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</si>
  <si>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</si>
  <si>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</si>
  <si>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</si>
  <si>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</si>
  <si>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</si>
  <si>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</si>
  <si>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</si>
  <si>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</si>
  <si>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</si>
  <si>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</si>
  <si>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</si>
  <si>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</si>
  <si>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</si>
  <si>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</si>
  <si>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</si>
  <si>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</si>
  <si>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</si>
  <si>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</si>
  <si>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</si>
  <si>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</si>
  <si>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</si>
  <si>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</si>
  <si>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</si>
  <si>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</si>
  <si>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</si>
  <si>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</si>
  <si>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</si>
  <si>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</si>
  <si>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</si>
  <si>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</si>
  <si>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</si>
  <si>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</si>
  <si>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</si>
  <si>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</si>
  <si>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</si>
  <si>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</si>
  <si>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</si>
  <si>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</si>
  <si>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</si>
  <si>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</si>
  <si>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</si>
  <si>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</si>
  <si>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</si>
  <si>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</si>
  <si>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</si>
  <si>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</si>
  <si>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</si>
  <si>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</si>
  <si>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</si>
  <si>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</si>
  <si>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</si>
  <si>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</si>
  <si>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</si>
  <si>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</si>
  <si>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</si>
  <si>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</si>
  <si>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</si>
  <si>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</si>
  <si>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</si>
  <si>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</si>
  <si>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</si>
  <si>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</si>
  <si>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</si>
  <si>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</si>
  <si>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</si>
  <si>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</si>
  <si>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</si>
  <si>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</si>
  <si>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</si>
  <si>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</si>
  <si>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</si>
  <si>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</si>
  <si>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</si>
  <si>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</si>
  <si>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</si>
  <si>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</si>
  <si>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</si>
  <si>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</si>
  <si>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</si>
  <si>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</si>
  <si>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</si>
  <si>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</si>
  <si>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</si>
  <si>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</si>
  <si>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</si>
  <si>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</si>
  <si>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</si>
  <si>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</si>
  <si>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</si>
  <si>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</si>
  <si>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</si>
  <si>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</si>
  <si>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</si>
  <si>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</si>
  <si>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</si>
  <si>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</si>
  <si>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</si>
  <si>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</si>
  <si>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</si>
  <si>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</si>
  <si>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</si>
  <si>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</si>
  <si>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</si>
  <si>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</si>
  <si>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</si>
  <si>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</si>
  <si>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</si>
  <si>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</si>
  <si>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</si>
  <si>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</si>
  <si>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</si>
  <si>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</si>
  <si>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</si>
  <si>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</si>
  <si>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</si>
  <si>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</si>
  <si>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</si>
  <si>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</si>
  <si>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</si>
  <si>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</si>
  <si>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</si>
  <si>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</si>
  <si>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</si>
  <si>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</si>
  <si>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</si>
  <si>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</si>
  <si>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</si>
  <si>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</si>
  <si>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</si>
  <si>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</si>
  <si>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</si>
  <si>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</si>
  <si>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</si>
  <si>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</si>
  <si>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</si>
  <si>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</si>
  <si>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</si>
  <si>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</si>
  <si>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</si>
  <si>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</si>
  <si>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</si>
  <si>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</si>
  <si>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</si>
  <si>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</si>
  <si>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</si>
  <si>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</si>
  <si>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</si>
  <si>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</si>
  <si>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</si>
  <si>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</si>
  <si>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</si>
  <si>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</si>
  <si>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</si>
  <si>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</si>
  <si>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</si>
  <si>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</si>
  <si>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</si>
  <si>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</si>
  <si>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</si>
  <si>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</si>
  <si>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</si>
  <si>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</si>
  <si>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</si>
  <si>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</si>
  <si>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</si>
  <si>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</si>
  <si>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</si>
  <si>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</si>
  <si>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</si>
  <si>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</si>
  <si>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</si>
  <si>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</si>
  <si>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</si>
  <si>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</si>
  <si>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</si>
  <si>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</si>
  <si>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</si>
  <si>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</si>
  <si>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</si>
  <si>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</si>
  <si>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</si>
  <si>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</si>
  <si>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</si>
  <si>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</si>
  <si>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</si>
  <si>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</si>
  <si>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</si>
  <si>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</si>
  <si>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</si>
  <si>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</si>
  <si>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</si>
  <si>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</si>
  <si>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</si>
  <si>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</si>
  <si>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</si>
  <si>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</si>
  <si>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</si>
  <si>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</si>
  <si>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</si>
  <si>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</si>
  <si>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</si>
  <si>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</si>
  <si>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</si>
  <si>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</si>
  <si>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</si>
  <si>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</si>
  <si>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</si>
  <si>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</si>
  <si>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</si>
  <si>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</si>
  <si>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</si>
  <si>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</si>
  <si>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</si>
  <si>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</si>
  <si>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</si>
  <si>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</si>
  <si>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</si>
  <si>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</si>
  <si>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</si>
  <si>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</si>
  <si>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</si>
  <si>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</si>
  <si>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</si>
  <si>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</si>
  <si>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</si>
  <si>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</si>
  <si>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</si>
  <si>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</si>
  <si>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</si>
  <si>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</si>
  <si>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</si>
  <si>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</si>
  <si>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</si>
  <si>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</si>
  <si>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</si>
  <si>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</si>
  <si>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</si>
  <si>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</si>
  <si>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</si>
  <si>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</si>
  <si>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</si>
  <si>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</si>
  <si>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</si>
  <si>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</si>
  <si>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</si>
  <si>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</si>
  <si>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</si>
  <si>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</si>
  <si>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</si>
  <si>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</si>
  <si>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</si>
  <si>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</si>
  <si>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</si>
  <si>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</si>
  <si>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</si>
  <si>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</si>
  <si>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</si>
  <si>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</si>
  <si>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</si>
  <si>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</si>
  <si>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</si>
  <si>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</si>
  <si>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</si>
  <si>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</si>
  <si>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</si>
  <si>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</si>
  <si>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</si>
  <si>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</si>
  <si>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</si>
  <si>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</si>
  <si>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</si>
  <si>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</si>
  <si>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</si>
  <si>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</si>
  <si>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</si>
  <si>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</si>
  <si>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</si>
  <si>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</si>
  <si>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</si>
  <si>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</si>
  <si>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</si>
  <si>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</si>
  <si>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</si>
  <si>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</si>
  <si>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</si>
  <si>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</si>
  <si>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</si>
  <si>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</si>
  <si>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</si>
  <si>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</si>
  <si>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</si>
  <si>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</si>
  <si>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</si>
  <si>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</si>
  <si>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</si>
  <si>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</si>
  <si>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</si>
  <si>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</si>
  <si>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</si>
  <si>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</si>
  <si>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</si>
  <si>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</si>
  <si>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</si>
  <si>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</si>
  <si>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</si>
  <si>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</si>
  <si>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</si>
  <si>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</si>
  <si>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</si>
  <si>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</si>
  <si>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</si>
  <si>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</si>
  <si>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</si>
  <si>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</si>
  <si>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</si>
  <si>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</si>
  <si>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</si>
  <si>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</si>
  <si>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</si>
  <si>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</si>
  <si>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</si>
  <si>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</si>
  <si>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</si>
  <si>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</si>
  <si>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</si>
  <si>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</si>
  <si>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</si>
  <si>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</si>
  <si>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</si>
  <si>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</si>
  <si>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</si>
  <si>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</si>
  <si>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</si>
  <si>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</si>
  <si>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</si>
  <si>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</si>
  <si>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</si>
  <si>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</si>
  <si>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</si>
  <si>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</si>
  <si>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</si>
  <si>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</si>
  <si>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</si>
  <si>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</si>
  <si>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</si>
  <si>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</si>
  <si>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</si>
  <si>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</si>
  <si>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</si>
  <si>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</si>
  <si>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</si>
  <si>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</si>
  <si>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</si>
  <si>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</si>
  <si>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</si>
  <si>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</si>
  <si>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</si>
  <si>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</si>
  <si>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</si>
  <si>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</si>
  <si>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</si>
  <si>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</si>
  <si>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</si>
  <si>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</si>
  <si>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</si>
  <si>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</si>
  <si>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</si>
  <si>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</si>
  <si>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</si>
  <si>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</si>
  <si>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</si>
  <si>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</si>
  <si>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</si>
  <si>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</si>
  <si>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</si>
  <si>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</si>
  <si>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</si>
  <si>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</si>
  <si>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</si>
  <si>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</si>
  <si>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</si>
  <si>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</si>
  <si>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</si>
  <si>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</si>
  <si>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</si>
  <si>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</si>
  <si>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</si>
  <si>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</si>
  <si>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</si>
  <si>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</si>
  <si>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</si>
  <si>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</si>
  <si>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</si>
  <si>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</si>
  <si>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</si>
  <si>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</si>
  <si>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</si>
  <si>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</si>
  <si>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</si>
  <si>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</si>
  <si>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</si>
  <si>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</si>
  <si>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</si>
  <si>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</si>
  <si>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</si>
  <si>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</si>
  <si>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</si>
  <si>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</si>
  <si>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</si>
  <si>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</si>
  <si>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</si>
  <si>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</si>
  <si>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</si>
  <si>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</si>
  <si>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</si>
  <si>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</si>
  <si>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</si>
  <si>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</si>
  <si>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</si>
  <si>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</si>
  <si>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</si>
  <si>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</si>
  <si>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</si>
  <si>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</si>
  <si>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</si>
  <si>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</si>
  <si>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</si>
  <si>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</si>
  <si>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</si>
  <si>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</si>
  <si>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</si>
  <si>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</si>
  <si>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</si>
  <si>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</si>
  <si>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</si>
  <si>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</si>
  <si>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</si>
  <si>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</si>
  <si>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</si>
  <si>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</si>
  <si>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</si>
  <si>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</si>
  <si>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</si>
  <si>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</si>
  <si>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</si>
  <si>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</si>
  <si>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</si>
  <si>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</si>
  <si>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</si>
  <si>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</si>
  <si>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</si>
  <si>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</si>
  <si>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</si>
  <si>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</si>
  <si>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</si>
  <si>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</si>
  <si>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</si>
  <si>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</si>
  <si>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</si>
  <si>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</si>
  <si>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</si>
  <si>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</si>
  <si>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</si>
  <si>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</si>
  <si>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</si>
  <si>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</si>
  <si>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</si>
  <si>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</si>
  <si>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</si>
  <si>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</si>
  <si>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</si>
  <si>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</si>
  <si>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</si>
  <si>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</si>
  <si>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</si>
  <si>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</si>
  <si>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</si>
  <si>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</si>
  <si>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</si>
  <si>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</si>
  <si>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</si>
  <si>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</si>
  <si>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</si>
  <si>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</si>
  <si>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</si>
  <si>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</si>
  <si>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</si>
  <si>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</si>
  <si>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</si>
  <si>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</si>
  <si>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</si>
  <si>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</si>
  <si>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</si>
  <si>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</si>
  <si>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</si>
  <si>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</si>
  <si>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</si>
  <si>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</si>
  <si>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</si>
  <si>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</si>
  <si>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</si>
  <si>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</si>
  <si>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</si>
  <si>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</si>
  <si>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</si>
  <si>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</si>
  <si>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</si>
  <si>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</si>
  <si>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</si>
  <si>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</si>
  <si>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</si>
  <si>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</si>
  <si>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</si>
  <si>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</si>
  <si>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</si>
  <si>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</si>
  <si>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</si>
  <si>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</si>
  <si>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</si>
  <si>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</si>
  <si>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</si>
  <si>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</si>
  <si>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</si>
  <si>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</si>
  <si>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</si>
  <si>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</si>
  <si>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</si>
  <si>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</si>
  <si>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</si>
  <si>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</si>
  <si>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</si>
  <si>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</si>
  <si>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</si>
  <si>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</si>
  <si>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</si>
  <si>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</si>
  <si>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</si>
  <si>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</si>
  <si>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</si>
  <si>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</si>
  <si>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</si>
  <si>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</si>
  <si>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</si>
  <si>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</si>
  <si>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</si>
  <si>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</si>
  <si>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</si>
  <si>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</si>
  <si>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</si>
  <si>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</si>
  <si>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</si>
  <si>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</si>
  <si>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</si>
  <si>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</si>
  <si>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</si>
  <si>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</si>
  <si>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</si>
  <si>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</si>
  <si>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</si>
  <si>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</si>
  <si>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</si>
  <si>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</si>
  <si>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</si>
  <si>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</si>
  <si>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</si>
  <si>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</si>
  <si>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</si>
  <si>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</si>
  <si>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</si>
  <si>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</si>
  <si>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</si>
  <si>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</si>
  <si>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</si>
  <si>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</si>
  <si>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</si>
  <si>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</si>
  <si>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</si>
  <si>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</si>
  <si>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</si>
  <si>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</si>
  <si>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</si>
  <si>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</si>
  <si>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</si>
  <si>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</si>
  <si>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</si>
  <si>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</si>
  <si>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</si>
  <si>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</si>
  <si>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</si>
  <si>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</si>
  <si>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</si>
  <si>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</si>
  <si>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</si>
  <si>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</si>
  <si>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</si>
  <si>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</si>
  <si>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</si>
  <si>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</si>
  <si>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</si>
  <si>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</si>
  <si>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</si>
  <si>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</si>
  <si>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</si>
  <si>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</si>
  <si>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</si>
  <si>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</si>
  <si>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</si>
  <si>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</si>
  <si>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</si>
  <si>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</si>
  <si>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</si>
  <si>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</si>
  <si>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</si>
  <si>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</si>
  <si>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</si>
  <si>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</si>
  <si>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</si>
  <si>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</si>
  <si>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</si>
  <si>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</si>
  <si>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</si>
  <si>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</si>
  <si>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</si>
  <si>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</si>
  <si>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</si>
  <si>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</si>
  <si>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</si>
  <si>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</si>
  <si>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</si>
  <si>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</si>
  <si>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</si>
  <si>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</si>
  <si>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</si>
  <si>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</si>
  <si>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</si>
  <si>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</si>
  <si>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</si>
  <si>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</si>
  <si>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</si>
  <si>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</si>
  <si>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</si>
  <si>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</si>
  <si>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</si>
  <si>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</si>
  <si>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</si>
  <si>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</si>
  <si>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</si>
  <si>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</si>
  <si>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</si>
  <si>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</si>
  <si>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</si>
  <si>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</si>
  <si>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</si>
  <si>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</si>
  <si>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</si>
  <si>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</si>
  <si>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</si>
  <si>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</si>
  <si>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</si>
  <si>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</si>
  <si>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</si>
  <si>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</si>
  <si>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</si>
  <si>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</si>
  <si>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</si>
  <si>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</si>
  <si>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</si>
  <si>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</si>
  <si>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</si>
  <si>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</si>
  <si>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</si>
  <si>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</si>
  <si>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</si>
  <si>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</si>
  <si>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</si>
  <si>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</si>
  <si>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</si>
  <si>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</si>
  <si>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</si>
  <si>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</si>
  <si>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</si>
  <si>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</si>
  <si>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</si>
  <si>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</si>
  <si>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</si>
  <si>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</si>
  <si>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</si>
  <si>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</si>
  <si>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</si>
  <si>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</si>
  <si>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</si>
  <si>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</si>
  <si>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</si>
  <si>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</si>
  <si>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</si>
  <si>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</si>
  <si>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</si>
  <si>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</si>
  <si>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</si>
  <si>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</si>
  <si>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</si>
  <si>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</si>
  <si>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</si>
  <si>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</si>
  <si>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</si>
  <si>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</si>
  <si>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</si>
  <si>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</si>
  <si>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</si>
  <si>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</si>
  <si>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</si>
  <si>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</si>
  <si>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</si>
  <si>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</si>
  <si>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</si>
  <si>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</si>
  <si>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</si>
  <si>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</si>
  <si>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</si>
  <si>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</si>
  <si>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</si>
  <si>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</si>
  <si>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</si>
  <si>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</si>
  <si>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</si>
  <si>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</si>
  <si>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</si>
  <si>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</si>
  <si>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</si>
  <si>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</si>
  <si>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</si>
  <si>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</si>
  <si>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</si>
  <si>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</si>
  <si>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</si>
  <si>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</si>
  <si>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</si>
  <si>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</si>
  <si>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</si>
  <si>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</si>
  <si>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</si>
  <si>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</si>
  <si>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</si>
  <si>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</si>
  <si>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</si>
  <si>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</si>
  <si>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</si>
  <si>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</si>
  <si>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</si>
  <si>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</si>
  <si>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</si>
  <si>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</si>
  <si>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</si>
  <si>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</si>
  <si>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</si>
  <si>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</si>
  <si>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</si>
  <si>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</si>
  <si>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</si>
  <si>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</si>
  <si>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</si>
  <si>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</si>
  <si>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</si>
  <si>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</si>
  <si>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</si>
  <si>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</si>
  <si>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</si>
  <si>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</si>
  <si>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</si>
  <si>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</si>
  <si>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</si>
  <si>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</si>
  <si>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</si>
  <si>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</si>
  <si>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</si>
  <si>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</si>
  <si>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</si>
  <si>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</si>
  <si>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</si>
  <si>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</si>
  <si>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</si>
  <si>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</si>
  <si>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</si>
  <si>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</si>
  <si>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</si>
  <si>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</si>
  <si>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</si>
  <si>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</si>
  <si>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</si>
  <si>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</si>
  <si>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</si>
  <si>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</si>
  <si>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</si>
  <si>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</si>
  <si>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</si>
  <si>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</si>
  <si>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</si>
  <si>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</si>
  <si>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</si>
  <si>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</si>
  <si>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</si>
  <si>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</si>
  <si>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</si>
  <si>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</si>
  <si>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</si>
  <si>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</si>
  <si>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</si>
  <si>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</si>
  <si>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</si>
  <si>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</si>
  <si>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</si>
  <si>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</si>
  <si>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</si>
  <si>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</si>
  <si>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</si>
  <si>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</si>
  <si>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</si>
  <si>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</si>
  <si>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</si>
  <si>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</si>
  <si>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</si>
  <si>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</si>
  <si>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</si>
  <si>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</si>
  <si>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</si>
  <si>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</si>
  <si>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</si>
  <si>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</si>
  <si>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</si>
  <si>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</si>
  <si>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</si>
  <si>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</si>
  <si>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</si>
  <si>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</si>
  <si>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</si>
  <si>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</si>
  <si>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</si>
  <si>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</si>
  <si>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</si>
  <si>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</si>
  <si>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</si>
  <si>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</si>
  <si>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</si>
  <si>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</si>
  <si>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</si>
  <si>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</si>
  <si>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</si>
  <si>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</si>
  <si>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</si>
  <si>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</si>
  <si>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</si>
  <si>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</si>
  <si>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</si>
  <si>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</si>
  <si>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</si>
  <si>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</si>
  <si>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</si>
  <si>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</si>
  <si>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</si>
  <si>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</si>
  <si>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</si>
  <si>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</si>
  <si>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</si>
  <si>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</si>
  <si>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</si>
  <si>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</si>
  <si>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</si>
  <si>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</si>
  <si>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</si>
  <si>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</si>
  <si>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</si>
  <si>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</si>
  <si>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</si>
  <si>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</si>
  <si>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</si>
  <si>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</si>
  <si>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</si>
  <si>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</si>
  <si>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</si>
  <si>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</si>
  <si>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</si>
  <si>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</si>
  <si>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</si>
  <si>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</si>
  <si>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</si>
  <si>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</si>
  <si>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</si>
  <si>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</si>
  <si>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</si>
  <si>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</si>
  <si>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</si>
  <si>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</si>
  <si>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</si>
  <si>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</si>
  <si>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</si>
  <si>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</si>
  <si>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</si>
  <si>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</si>
  <si>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</si>
  <si>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</si>
  <si>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</si>
  <si>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</si>
  <si>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</si>
  <si>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</si>
  <si>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</si>
  <si>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</si>
  <si>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</si>
  <si>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</si>
  <si>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</si>
  <si>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</si>
  <si>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</si>
  <si>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</si>
  <si>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</si>
  <si>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</si>
  <si>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</si>
  <si>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</si>
  <si>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</si>
  <si>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</si>
  <si>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</si>
  <si>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</si>
  <si>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</si>
  <si>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</si>
  <si>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</si>
  <si>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</si>
  <si>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</si>
  <si>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</si>
  <si>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</si>
  <si>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</si>
  <si>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</si>
  <si>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</si>
  <si>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</si>
  <si>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</si>
  <si>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</si>
  <si>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</si>
  <si>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</si>
  <si>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</si>
  <si>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</si>
  <si>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</si>
  <si>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</si>
  <si>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</si>
  <si>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</si>
  <si>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</si>
  <si>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</si>
  <si>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</si>
  <si>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</si>
  <si>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</si>
  <si>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</si>
  <si>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</si>
  <si>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</si>
  <si>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</si>
  <si>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</si>
  <si>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</si>
  <si>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</si>
  <si>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</si>
  <si>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</si>
  <si>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</si>
  <si>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</si>
  <si>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</si>
  <si>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</si>
  <si>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</si>
  <si>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</si>
  <si>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</si>
  <si>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</si>
  <si>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</si>
  <si>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</si>
  <si>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</si>
  <si>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</si>
  <si>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</si>
  <si>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</si>
  <si>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</si>
  <si>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</si>
  <si>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</si>
  <si>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</si>
  <si>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</si>
  <si>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</si>
  <si>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</si>
  <si>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</si>
  <si>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</si>
  <si>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</si>
  <si>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</si>
  <si>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</si>
  <si>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</si>
  <si>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</si>
  <si>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</si>
  <si>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</si>
  <si>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</si>
  <si>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</si>
  <si>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</si>
  <si>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</si>
  <si>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</si>
  <si>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</si>
  <si>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</si>
  <si>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</si>
  <si>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</si>
  <si>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</si>
  <si>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</si>
  <si>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</si>
  <si>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</si>
  <si>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</si>
  <si>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</si>
  <si>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</si>
  <si>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</si>
  <si>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</si>
  <si>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</si>
  <si>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</si>
  <si>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</si>
  <si>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</si>
  <si>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</si>
  <si>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</si>
  <si>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</si>
  <si>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</si>
  <si>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</si>
  <si>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</si>
  <si>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</si>
  <si>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</si>
  <si>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</si>
  <si>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</si>
  <si>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</si>
  <si>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</si>
  <si>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</si>
  <si>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</si>
  <si>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</si>
  <si>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</si>
  <si>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</si>
  <si>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</si>
  <si>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</si>
  <si>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</si>
  <si>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</si>
  <si>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</si>
  <si>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</si>
  <si>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</si>
  <si>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</si>
  <si>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</si>
  <si>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</si>
  <si>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</si>
  <si>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</si>
  <si>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</si>
  <si>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</si>
  <si>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</si>
  <si>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</si>
  <si>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</si>
  <si>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</si>
  <si>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</si>
  <si>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</si>
  <si>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</si>
  <si>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</si>
  <si>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</si>
  <si>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</si>
  <si>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</si>
  <si>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</si>
  <si>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</si>
  <si>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</si>
  <si>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</si>
  <si>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</si>
  <si>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</si>
  <si>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</si>
  <si>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</si>
  <si>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</si>
  <si>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</si>
  <si>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</si>
  <si>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</si>
  <si>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</si>
  <si>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</si>
  <si>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</si>
  <si>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</si>
  <si>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</si>
  <si>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</si>
  <si>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</si>
  <si>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</si>
  <si>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</si>
  <si>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</si>
  <si>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</si>
  <si>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</si>
  <si>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</si>
  <si>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</si>
  <si>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</si>
  <si>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</si>
  <si>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</si>
  <si>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</si>
  <si>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</si>
  <si>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</si>
  <si>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</si>
  <si>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</si>
  <si>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</si>
  <si>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</si>
  <si>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</si>
  <si>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</si>
  <si>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</si>
  <si>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</si>
  <si>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</si>
  <si>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</si>
  <si>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</si>
  <si>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</si>
  <si>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</si>
  <si>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</si>
  <si>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</si>
  <si>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</si>
  <si>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</si>
  <si>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</si>
  <si>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</si>
  <si>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</si>
  <si>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</si>
  <si>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</si>
  <si>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</si>
  <si>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</si>
  <si>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</si>
  <si>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</si>
  <si>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</si>
  <si>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</si>
  <si>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</si>
  <si>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</si>
  <si>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</si>
  <si>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</si>
  <si>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</si>
  <si>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</si>
  <si>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</si>
  <si>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</si>
  <si>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</si>
  <si>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</si>
  <si>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</si>
  <si>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</si>
  <si>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</si>
  <si>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</si>
  <si>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</si>
  <si>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</si>
  <si>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</si>
  <si>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</si>
  <si>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</si>
  <si>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</si>
  <si>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</si>
  <si>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</si>
  <si>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</si>
  <si>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</si>
  <si>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</si>
  <si>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</si>
  <si>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</si>
  <si>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</si>
  <si>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</si>
  <si>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</si>
  <si>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</si>
  <si>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</si>
  <si>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</si>
  <si>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</si>
  <si>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</si>
  <si>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</si>
  <si>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</si>
  <si>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</si>
  <si>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</si>
  <si>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</si>
  <si>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</si>
  <si>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</si>
  <si>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</si>
  <si>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</si>
  <si>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</si>
  <si>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</si>
  <si>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</si>
  <si>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</si>
  <si>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</si>
  <si>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</si>
  <si>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</si>
  <si>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</si>
  <si>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</si>
  <si>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</si>
  <si>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</si>
  <si>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</si>
  <si>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</si>
  <si>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</si>
  <si>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</si>
  <si>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</si>
  <si>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</si>
  <si>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</si>
  <si>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</si>
  <si>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</si>
  <si>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</si>
  <si>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</si>
  <si>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</si>
  <si>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</si>
  <si>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</si>
  <si>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</si>
  <si>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</si>
  <si>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</si>
  <si>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</si>
  <si>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</si>
  <si>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</si>
  <si>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</si>
  <si>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</si>
  <si>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</si>
  <si>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</si>
  <si>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</si>
  <si>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</si>
  <si>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</si>
  <si>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</si>
  <si>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</si>
  <si>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</si>
  <si>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</si>
  <si>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</si>
  <si>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</si>
  <si>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</si>
  <si>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</si>
  <si>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</si>
  <si>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</si>
  <si>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</si>
  <si>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</si>
  <si>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</si>
  <si>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</si>
  <si>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</si>
  <si>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</si>
  <si>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</si>
  <si>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</si>
  <si>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</si>
  <si>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</si>
  <si>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</si>
  <si>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</si>
  <si>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</si>
  <si>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</si>
  <si>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</si>
  <si>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</si>
  <si>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</si>
  <si>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</si>
  <si>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</si>
  <si>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</si>
  <si>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</si>
  <si>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</si>
  <si>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</si>
  <si>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</si>
  <si>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</si>
  <si>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</si>
  <si>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</si>
  <si>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</si>
  <si>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</si>
  <si>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</si>
  <si>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</si>
  <si>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</si>
  <si>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</si>
  <si>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</si>
  <si>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</si>
  <si>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</si>
  <si>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</si>
  <si>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</si>
  <si>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</si>
  <si>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</si>
  <si>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</si>
  <si>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</si>
  <si>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</si>
  <si>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</si>
  <si>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</si>
  <si>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</si>
  <si>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</si>
  <si>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</si>
  <si>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</si>
  <si>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</si>
  <si>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</si>
  <si>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</si>
  <si>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</si>
  <si>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</si>
  <si>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</si>
  <si>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</si>
  <si>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</si>
  <si>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</si>
  <si>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</si>
  <si>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</si>
  <si>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</si>
  <si>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</si>
  <si>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</si>
  <si>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</si>
  <si>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</si>
  <si>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</si>
  <si>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</si>
  <si>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</si>
  <si>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</si>
  <si>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</si>
  <si>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</si>
  <si>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</si>
  <si>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</si>
  <si>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</si>
  <si>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</si>
  <si>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</si>
  <si>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</si>
  <si>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</si>
  <si>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</si>
  <si>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</si>
  <si>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</si>
  <si>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</si>
  <si>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</si>
  <si>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</si>
  <si>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</si>
  <si>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</si>
  <si>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</si>
  <si>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</si>
  <si>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</si>
  <si>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</si>
  <si>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</si>
  <si>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</si>
  <si>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</si>
  <si>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</si>
  <si>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</si>
  <si>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</si>
  <si>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</si>
  <si>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</si>
  <si>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</si>
  <si>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</si>
  <si>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</si>
  <si>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</si>
  <si>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</si>
  <si>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</si>
  <si>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</si>
  <si>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</si>
  <si>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</si>
  <si>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</si>
  <si>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</si>
  <si>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</si>
  <si>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</si>
  <si>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</si>
  <si>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</si>
  <si>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</si>
  <si>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</si>
  <si>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</si>
  <si>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</si>
  <si>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</si>
  <si>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</si>
  <si>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</si>
  <si>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</si>
  <si>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</si>
  <si>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</si>
  <si>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</si>
  <si>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</si>
  <si>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</si>
  <si>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</si>
  <si>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</si>
  <si>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</si>
  <si>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</si>
  <si>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</si>
  <si>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</si>
  <si>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</si>
  <si>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</si>
  <si>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</si>
  <si>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</si>
  <si>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</si>
  <si>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</si>
  <si>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</si>
  <si>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</si>
  <si>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</si>
  <si>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</si>
  <si>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</si>
  <si>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</si>
  <si>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</si>
  <si>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</si>
  <si>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</si>
  <si>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</si>
  <si>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</si>
  <si>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</si>
  <si>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</si>
  <si>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</si>
  <si>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</si>
  <si>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</si>
  <si>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</si>
  <si>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</si>
  <si>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</si>
  <si>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</si>
  <si>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</si>
  <si>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</si>
  <si>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</si>
  <si>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</si>
  <si>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</si>
  <si>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</si>
  <si>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</si>
  <si>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</si>
  <si>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</si>
  <si>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</si>
  <si>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</si>
  <si>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</si>
  <si>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</si>
  <si>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</si>
  <si>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</si>
  <si>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</si>
  <si>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</si>
  <si>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</si>
  <si>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</si>
  <si>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</si>
  <si>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</si>
  <si>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</si>
  <si>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</si>
  <si>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</si>
  <si>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</si>
  <si>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</si>
  <si>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</si>
  <si>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</si>
  <si>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</si>
  <si>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</si>
  <si>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</si>
  <si>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</si>
  <si>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</si>
  <si>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</si>
  <si>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</si>
  <si>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</si>
  <si>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</si>
  <si>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</si>
  <si>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</si>
  <si>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</si>
  <si>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</si>
  <si>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</si>
  <si>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</si>
  <si>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</si>
  <si>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</si>
  <si>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</si>
  <si>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</si>
  <si>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</si>
  <si>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</si>
  <si>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</si>
  <si>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</si>
  <si>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</si>
  <si>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</si>
  <si>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</si>
  <si>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</si>
  <si>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</si>
  <si>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</si>
  <si>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</si>
  <si>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</si>
  <si>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</si>
  <si>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</si>
  <si>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</si>
  <si>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</si>
  <si>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</si>
  <si>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</si>
  <si>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</si>
  <si>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</si>
  <si>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</si>
  <si>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</si>
  <si>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</si>
  <si>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</si>
  <si>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</si>
  <si>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</si>
  <si>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</si>
  <si>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</si>
  <si>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</si>
  <si>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</si>
  <si>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</si>
  <si>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</si>
  <si>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</si>
  <si>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</si>
  <si>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</si>
  <si>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</si>
  <si>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</si>
  <si>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</si>
  <si>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</si>
  <si>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</si>
  <si>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</si>
  <si>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</si>
  <si>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</si>
  <si>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</si>
  <si>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</si>
  <si>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</si>
  <si>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</si>
  <si>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</si>
  <si>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</si>
  <si>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</si>
  <si>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</si>
  <si>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</si>
  <si>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</si>
  <si>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</si>
  <si>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</si>
  <si>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</si>
  <si>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</si>
  <si>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</si>
  <si>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</si>
  <si>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</si>
  <si>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</si>
  <si>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</si>
  <si>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</si>
  <si>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</si>
  <si>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</si>
  <si>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</si>
  <si>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</si>
  <si>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</si>
  <si>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</si>
  <si>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</si>
  <si>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</si>
  <si>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</si>
  <si>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</si>
  <si>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</si>
  <si>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</si>
  <si>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</si>
  <si>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</si>
  <si>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</si>
  <si>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</si>
  <si>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</si>
  <si>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</si>
  <si>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</si>
  <si>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</si>
  <si>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</si>
  <si>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</si>
  <si>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</si>
  <si>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</si>
  <si>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</si>
  <si>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</si>
  <si>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</si>
  <si>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</si>
  <si>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</si>
  <si>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</si>
  <si>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</si>
  <si>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</si>
  <si>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</si>
  <si>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</si>
  <si>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</si>
  <si>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</si>
  <si>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</si>
  <si>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</si>
  <si>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</si>
  <si>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</si>
  <si>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</si>
  <si>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</si>
  <si>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</si>
  <si>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</si>
  <si>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</si>
  <si>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</si>
  <si>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</si>
  <si>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</si>
  <si>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</si>
  <si>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</si>
  <si>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</si>
  <si>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</si>
  <si>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</si>
  <si>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</si>
  <si>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</si>
  <si>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</si>
  <si>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</si>
  <si>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</si>
  <si>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</si>
  <si>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</si>
  <si>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</si>
  <si>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</si>
  <si>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</si>
  <si>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</si>
  <si>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</si>
  <si>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</si>
  <si>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</si>
  <si>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</si>
  <si>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</si>
  <si>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</si>
  <si>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</si>
  <si>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</si>
  <si>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</si>
  <si>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</si>
  <si>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</si>
  <si>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</si>
  <si>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</si>
  <si>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</si>
  <si>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</si>
  <si>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</si>
  <si>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</si>
  <si>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</si>
  <si>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</si>
  <si>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</si>
  <si>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</si>
  <si>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</si>
  <si>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</si>
  <si>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</si>
  <si>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</si>
  <si>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</si>
  <si>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</si>
  <si>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</si>
  <si>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</si>
  <si>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</si>
  <si>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</si>
  <si>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</si>
  <si>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</si>
  <si>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</si>
  <si>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</si>
  <si>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</si>
  <si>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</si>
  <si>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</si>
  <si>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</si>
  <si>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</si>
  <si>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</si>
  <si>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</si>
  <si>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</si>
  <si>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</si>
  <si>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</si>
  <si>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</si>
  <si>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</si>
  <si>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</si>
  <si>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</si>
  <si>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</si>
  <si>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</si>
  <si>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</si>
  <si>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</si>
  <si>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</si>
  <si>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</si>
  <si>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</si>
  <si>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</si>
  <si>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</si>
  <si>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</si>
  <si>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</si>
  <si>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</si>
  <si>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</si>
  <si>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</si>
  <si>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</si>
  <si>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</si>
  <si>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</si>
  <si>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</si>
  <si>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</si>
  <si>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</si>
  <si>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</si>
  <si>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</si>
  <si>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</si>
  <si>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</si>
  <si>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</si>
  <si>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</si>
  <si>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</si>
  <si>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</si>
  <si>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</si>
  <si>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</si>
  <si>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</si>
  <si>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</si>
  <si>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</si>
  <si>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</si>
  <si>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</si>
  <si>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</si>
  <si>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</si>
  <si>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</si>
  <si>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</si>
  <si>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</si>
  <si>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</si>
  <si>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</si>
  <si>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</si>
  <si>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</si>
  <si>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</si>
  <si>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</si>
  <si>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</si>
  <si>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</si>
  <si>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</si>
  <si>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</si>
  <si>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</si>
  <si>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</si>
  <si>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</si>
  <si>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</si>
  <si>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</si>
  <si>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</si>
  <si>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</si>
  <si>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</si>
  <si>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</si>
  <si>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</si>
  <si>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</si>
  <si>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</si>
  <si>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</si>
  <si>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</si>
  <si>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</si>
  <si>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</si>
  <si>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</si>
  <si>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</si>
  <si>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</si>
  <si>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</si>
  <si>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</si>
  <si>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</si>
  <si>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</si>
  <si>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</si>
  <si>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</si>
  <si>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</si>
  <si>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</si>
  <si>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</si>
  <si>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</si>
  <si>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</si>
  <si>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</si>
  <si>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</si>
  <si>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</si>
  <si>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</si>
  <si>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</si>
  <si>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</si>
  <si>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</si>
  <si>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</si>
  <si>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</si>
  <si>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</si>
  <si>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</si>
  <si>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</si>
  <si>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</si>
  <si>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</si>
  <si>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</si>
  <si>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</si>
  <si>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</si>
  <si>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</si>
  <si>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</si>
  <si>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</si>
  <si>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</si>
  <si>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</si>
  <si>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</si>
  <si>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</si>
  <si>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</si>
  <si>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</si>
  <si>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</si>
  <si>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</si>
  <si>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</si>
  <si>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</si>
  <si>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</si>
  <si>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</si>
  <si>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</si>
  <si>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</si>
  <si>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</si>
  <si>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</si>
  <si>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</si>
  <si>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</si>
  <si>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</si>
  <si>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</si>
  <si>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</si>
  <si>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</si>
  <si>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</si>
  <si>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</si>
  <si>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</si>
  <si>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</si>
  <si>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</si>
  <si>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</si>
  <si>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</si>
  <si>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</si>
  <si>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</si>
  <si>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</si>
  <si>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</si>
  <si>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</si>
  <si>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</si>
  <si>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</si>
  <si>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</si>
  <si>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</si>
  <si>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</si>
  <si>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</si>
  <si>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</si>
  <si>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</si>
  <si>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</si>
  <si>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</si>
  <si>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</si>
  <si>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</si>
  <si>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</si>
  <si>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</si>
  <si>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</si>
  <si>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</si>
  <si>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</si>
  <si>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</si>
  <si>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</si>
  <si>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</si>
  <si>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</si>
  <si>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</si>
  <si>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</si>
  <si>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</si>
  <si>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</si>
  <si>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</si>
  <si>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</si>
  <si>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</si>
  <si>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</si>
  <si>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</si>
  <si>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</si>
  <si>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</si>
  <si>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</si>
  <si>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</si>
  <si>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</si>
  <si>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</si>
  <si>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</si>
  <si>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</si>
  <si>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</si>
  <si>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</si>
  <si>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</si>
  <si>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</si>
  <si>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</si>
  <si>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</si>
  <si>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</si>
  <si>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</si>
  <si>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</si>
  <si>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</si>
  <si>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</si>
  <si>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</si>
  <si>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</si>
  <si>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</si>
  <si>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</si>
  <si>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</si>
  <si>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</si>
  <si>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</si>
  <si>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</si>
  <si>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</si>
  <si>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</si>
  <si>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</si>
  <si>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</si>
  <si>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</si>
  <si>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</si>
  <si>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</si>
  <si>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</si>
  <si>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</si>
  <si>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</si>
  <si>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</si>
  <si>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</si>
  <si>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</si>
  <si>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</si>
  <si>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</si>
  <si>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</si>
  <si>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</si>
  <si>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</si>
  <si>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</si>
  <si>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</si>
  <si>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</si>
  <si>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</si>
  <si>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</si>
  <si>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</si>
  <si>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</si>
  <si>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</si>
  <si>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</si>
  <si>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</si>
  <si>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</si>
  <si>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</si>
  <si>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</si>
  <si>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</si>
  <si>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</si>
  <si>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</si>
  <si>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</si>
  <si>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</si>
  <si>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</si>
  <si>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</si>
  <si>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</si>
  <si>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</si>
  <si>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</si>
  <si>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</si>
  <si>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</si>
  <si>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</si>
  <si>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</si>
  <si>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</si>
  <si>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</si>
  <si>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</si>
  <si>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</si>
  <si>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</si>
  <si>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</si>
  <si>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</si>
  <si>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</si>
  <si>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</si>
  <si>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</si>
  <si>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</si>
  <si>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</si>
  <si>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</si>
  <si>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</si>
  <si>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</si>
  <si>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</si>
  <si>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</si>
  <si>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</si>
  <si>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</si>
  <si>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</si>
  <si>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</si>
  <si>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</si>
  <si>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</si>
  <si>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</si>
  <si>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</si>
  <si>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</si>
  <si>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</si>
  <si>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</si>
  <si>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</si>
  <si>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</si>
  <si>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</si>
  <si>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</si>
  <si>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</si>
  <si>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</si>
  <si>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</si>
  <si>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</si>
  <si>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</si>
  <si>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</si>
  <si>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</si>
  <si>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</si>
  <si>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</si>
  <si>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</si>
  <si>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</si>
  <si>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</si>
  <si>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</si>
  <si>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</si>
  <si>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</si>
  <si>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</si>
  <si>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</si>
  <si>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</si>
  <si>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</si>
  <si>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</si>
  <si>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</si>
  <si>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</si>
  <si>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</si>
  <si>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</si>
  <si>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</si>
  <si>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</si>
  <si>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</si>
  <si>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</si>
  <si>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</si>
  <si>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</si>
  <si>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</si>
  <si>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</si>
  <si>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</si>
  <si>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</si>
  <si>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</si>
  <si>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</si>
  <si>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</si>
  <si>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</si>
  <si>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</si>
  <si>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</si>
  <si>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</si>
  <si>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</si>
  <si>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</si>
  <si>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</si>
  <si>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</si>
  <si>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</si>
  <si>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</si>
  <si>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</si>
  <si>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</si>
  <si>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</si>
  <si>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</si>
  <si>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</si>
  <si>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</si>
  <si>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</si>
  <si>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</si>
  <si>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</si>
  <si>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</si>
  <si>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</si>
  <si>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</si>
  <si>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</si>
  <si>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</si>
  <si>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</si>
  <si>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</si>
  <si>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</si>
  <si>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</si>
  <si>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</si>
  <si>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</si>
  <si>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</si>
  <si>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</si>
  <si>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</si>
  <si>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</si>
  <si>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</si>
  <si>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</si>
  <si>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</si>
  <si>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</si>
  <si>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</si>
  <si>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</si>
  <si>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</si>
  <si>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</si>
  <si>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</si>
  <si>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</si>
  <si>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</si>
  <si>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</si>
  <si>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</si>
  <si>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</si>
  <si>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</si>
  <si>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</si>
  <si>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</si>
  <si>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</si>
  <si>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</si>
  <si>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</si>
  <si>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</si>
  <si>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</si>
  <si>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</si>
  <si>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</si>
  <si>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</si>
  <si>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</si>
  <si>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</si>
  <si>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</si>
  <si>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</si>
  <si>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</si>
  <si>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</si>
  <si>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</si>
  <si>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</si>
  <si>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</si>
  <si>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</si>
  <si>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</si>
  <si>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</si>
  <si>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</si>
  <si>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</si>
  <si>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</si>
  <si>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</si>
  <si>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</si>
  <si>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</si>
  <si>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</si>
  <si>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</si>
  <si>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</si>
  <si>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</si>
  <si>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</si>
  <si>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</si>
  <si>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</si>
  <si>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</si>
  <si>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</si>
  <si>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</si>
  <si>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</si>
  <si>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</si>
  <si>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</si>
  <si>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</si>
  <si>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</si>
  <si>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</si>
  <si>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</si>
  <si>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</si>
  <si>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</si>
  <si>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</si>
  <si>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</si>
  <si>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</si>
  <si>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</si>
  <si>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</si>
  <si>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</si>
  <si>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</si>
  <si>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</si>
  <si>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</si>
  <si>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</si>
  <si>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</si>
  <si>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</si>
  <si>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</si>
  <si>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</si>
  <si>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</si>
  <si>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</si>
  <si>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</si>
  <si>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</si>
  <si>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</si>
  <si>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</si>
  <si>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</si>
  <si>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</si>
  <si>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</si>
  <si>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</si>
  <si>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</si>
  <si>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</si>
  <si>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</si>
  <si>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</si>
  <si>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</si>
  <si>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</si>
  <si>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</si>
  <si>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</si>
  <si>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</si>
  <si>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</si>
  <si>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</si>
  <si>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</si>
  <si>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</si>
  <si>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</si>
  <si>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</si>
  <si>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</si>
  <si>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</si>
  <si>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</si>
  <si>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</si>
  <si>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</si>
  <si>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</si>
  <si>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</si>
  <si>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</si>
  <si>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</si>
  <si>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</si>
  <si>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</si>
  <si>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</si>
  <si>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</si>
  <si>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</si>
  <si>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</si>
  <si>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</si>
  <si>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</si>
  <si>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</si>
  <si>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</si>
  <si>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</si>
  <si>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</si>
  <si>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</si>
  <si>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</si>
  <si>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</si>
  <si>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</si>
  <si>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</si>
  <si>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</si>
  <si>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</si>
  <si>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</si>
  <si>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</si>
  <si>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</si>
  <si>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</si>
  <si>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</si>
  <si>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</si>
  <si>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</si>
  <si>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</si>
  <si>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</si>
  <si>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</si>
  <si>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</si>
  <si>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</si>
  <si>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</si>
  <si>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</si>
  <si>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</si>
  <si>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</si>
  <si>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</si>
  <si>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</si>
  <si>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</si>
  <si>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</si>
  <si>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</si>
  <si>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</si>
  <si>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</si>
  <si>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</si>
  <si>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</si>
  <si>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</si>
  <si>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</si>
  <si>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</si>
  <si>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</si>
  <si>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</si>
  <si>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</si>
  <si>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</si>
  <si>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</si>
  <si>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</si>
  <si>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</si>
  <si>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</si>
  <si>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</si>
  <si>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</si>
  <si>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</si>
  <si>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</si>
  <si>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</si>
  <si>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</si>
  <si>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</si>
  <si>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</si>
  <si>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</si>
  <si>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</si>
  <si>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</si>
  <si>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</si>
  <si>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</si>
  <si>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</si>
  <si>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</si>
  <si>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</si>
  <si>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</si>
  <si>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</si>
  <si>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</si>
  <si>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</si>
  <si>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</si>
  <si>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</si>
  <si>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</si>
  <si>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</si>
  <si>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</si>
  <si>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</si>
  <si>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</si>
  <si>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</si>
  <si>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</si>
  <si>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</si>
  <si>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</si>
  <si>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</si>
  <si>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</si>
  <si>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</si>
  <si>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</si>
  <si>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</si>
  <si>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</si>
  <si>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</si>
  <si>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</si>
  <si>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</si>
  <si>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</si>
  <si>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</si>
  <si>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</si>
  <si>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</si>
  <si>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</si>
  <si>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</si>
  <si>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</si>
  <si>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</si>
  <si>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</si>
  <si>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</si>
  <si>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</si>
  <si>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</si>
  <si>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</si>
  <si>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</si>
  <si>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</si>
  <si>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</si>
  <si>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</si>
  <si>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</si>
  <si>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</si>
  <si>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</si>
  <si>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</si>
  <si>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</si>
  <si>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</si>
  <si>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</si>
  <si>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</si>
  <si>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</si>
  <si>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</si>
  <si>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</si>
  <si>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</si>
  <si>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</si>
  <si>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</si>
  <si>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</si>
  <si>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</si>
  <si>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</si>
  <si>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</si>
  <si>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</si>
  <si>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</si>
  <si>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</si>
  <si>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</si>
  <si>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</si>
  <si>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</si>
  <si>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</si>
  <si>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</si>
  <si>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</si>
  <si>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</si>
  <si>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</si>
  <si>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</si>
  <si>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</si>
  <si>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</si>
  <si>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</si>
  <si>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</si>
  <si>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</si>
  <si>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</si>
  <si>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</si>
  <si>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</si>
  <si>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</si>
  <si>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</si>
  <si>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</si>
  <si>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</si>
  <si>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</si>
  <si>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</si>
  <si>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</si>
  <si>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</si>
  <si>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</si>
  <si>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</si>
  <si>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</si>
  <si>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</si>
  <si>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</si>
  <si>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</si>
  <si>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</si>
  <si>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</si>
  <si>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</si>
  <si>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</si>
  <si>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</si>
  <si>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</si>
  <si>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</si>
  <si>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</si>
  <si>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</si>
  <si>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</si>
  <si>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</si>
  <si>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</si>
  <si>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</si>
  <si>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</si>
  <si>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</si>
  <si>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</si>
  <si>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</si>
  <si>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</si>
  <si>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</si>
  <si>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</si>
  <si>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</si>
  <si>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</si>
  <si>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</si>
  <si>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</si>
  <si>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</si>
  <si>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</si>
  <si>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</si>
  <si>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</si>
  <si>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</si>
  <si>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</si>
  <si>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</si>
  <si>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</si>
  <si>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</si>
  <si>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</si>
  <si>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</si>
  <si>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</si>
  <si>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</si>
  <si>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</si>
  <si>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</si>
  <si>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</si>
  <si>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</si>
  <si>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</si>
  <si>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</si>
  <si>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</si>
  <si>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</si>
  <si>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</si>
  <si>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</si>
  <si>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</si>
  <si>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</si>
  <si>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</si>
  <si>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</si>
  <si>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</si>
  <si>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</si>
  <si>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</si>
  <si>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</si>
  <si>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</si>
  <si>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</si>
  <si>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</si>
  <si>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</si>
  <si>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</si>
  <si>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</si>
  <si>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</si>
  <si>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</si>
  <si>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</si>
  <si>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</si>
  <si>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</si>
  <si>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</si>
  <si>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</si>
  <si>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</si>
  <si>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</si>
  <si>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</si>
  <si>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</si>
  <si>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</si>
  <si>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</si>
  <si>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</si>
  <si>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</si>
  <si>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</si>
  <si>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</si>
  <si>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</si>
  <si>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</si>
  <si>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</si>
  <si>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</si>
  <si>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</si>
  <si>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</si>
  <si>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</si>
  <si>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</si>
  <si>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</si>
  <si>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</si>
  <si>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</si>
  <si>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</si>
  <si>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</si>
  <si>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</si>
  <si>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</si>
  <si>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</si>
  <si>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</si>
  <si>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</si>
  <si>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</si>
  <si>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</si>
  <si>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</si>
  <si>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</si>
  <si>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</si>
  <si>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</si>
  <si>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</si>
  <si>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</si>
  <si>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</si>
  <si>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</si>
  <si>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</si>
  <si>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</si>
  <si>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</si>
  <si>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</si>
  <si>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</si>
  <si>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</si>
  <si>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</si>
  <si>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</si>
  <si>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</si>
  <si>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</si>
  <si>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</si>
  <si>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</si>
  <si>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</si>
  <si>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</si>
  <si>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</si>
  <si>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</si>
  <si>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</si>
  <si>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</si>
  <si>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</si>
  <si>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</si>
  <si>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</si>
  <si>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</si>
  <si>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</si>
  <si>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</si>
  <si>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</si>
  <si>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</si>
  <si>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</si>
  <si>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</si>
  <si>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</si>
  <si>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</si>
  <si>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</si>
  <si>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</si>
  <si>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</si>
  <si>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</si>
  <si>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</si>
  <si>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</si>
  <si>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</si>
  <si>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</si>
  <si>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</si>
  <si>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</si>
  <si>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</si>
  <si>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</si>
  <si>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</si>
  <si>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</si>
  <si>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</si>
  <si>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</si>
  <si>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</si>
  <si>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</si>
  <si>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</si>
  <si>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</si>
  <si>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</si>
  <si>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</si>
  <si>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</si>
  <si>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</si>
  <si>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</si>
  <si>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</si>
  <si>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</si>
  <si>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</si>
  <si>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</si>
  <si>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</si>
  <si>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</si>
  <si>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</si>
  <si>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</si>
  <si>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</si>
  <si>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</si>
  <si>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</si>
  <si>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</si>
  <si>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</si>
  <si>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</si>
  <si>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</si>
  <si>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</si>
  <si>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</si>
  <si>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</si>
  <si>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</si>
  <si>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</si>
  <si>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</si>
  <si>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</si>
  <si>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</si>
  <si>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</si>
  <si>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</si>
  <si>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</si>
  <si>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</si>
  <si>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</si>
  <si>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</si>
  <si>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</si>
  <si>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</si>
  <si>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</si>
  <si>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</si>
  <si>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</si>
  <si>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</si>
  <si>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</si>
  <si>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</si>
  <si>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</si>
  <si>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</si>
  <si>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</si>
  <si>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</si>
  <si>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</si>
  <si>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</si>
  <si>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</si>
  <si>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</si>
  <si>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</si>
  <si>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</si>
  <si>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</si>
  <si>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</si>
  <si>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</si>
  <si>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</si>
  <si>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</si>
  <si>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</si>
  <si>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</si>
  <si>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</si>
  <si>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</si>
  <si>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</si>
  <si>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</si>
  <si>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</si>
  <si>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</si>
  <si>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</si>
  <si>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</si>
  <si>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</si>
  <si>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</si>
  <si>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</si>
  <si>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</si>
  <si>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</si>
  <si>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</si>
  <si>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</si>
  <si>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</si>
  <si>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</si>
  <si>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</si>
  <si>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</si>
  <si>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</si>
  <si>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</si>
  <si>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</si>
  <si>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</si>
  <si>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</si>
  <si>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</si>
  <si>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</si>
  <si>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</si>
  <si>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</si>
  <si>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</si>
  <si>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</si>
  <si>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</si>
  <si>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</si>
  <si>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</si>
  <si>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</si>
  <si>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</si>
  <si>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</si>
  <si>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</si>
  <si>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</si>
  <si>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</si>
  <si>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</si>
  <si>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</si>
  <si>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</si>
  <si>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</si>
  <si>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</si>
  <si>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</si>
  <si>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</si>
  <si>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</si>
  <si>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</si>
  <si>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</si>
  <si>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</si>
  <si>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</si>
  <si>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</si>
  <si>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</si>
  <si>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</si>
  <si>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</si>
  <si>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</si>
  <si>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</si>
  <si>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</si>
  <si>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</si>
  <si>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</si>
  <si>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</si>
  <si>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</si>
  <si>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</si>
  <si>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</si>
  <si>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</si>
  <si>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</si>
  <si>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</si>
  <si>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</si>
  <si>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</si>
  <si>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</si>
  <si>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</si>
  <si>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</si>
  <si>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</si>
  <si>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</si>
  <si>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</si>
  <si>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</si>
  <si>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</si>
  <si>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</si>
  <si>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</si>
  <si>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</si>
  <si>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</si>
  <si>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</si>
  <si>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</si>
  <si>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</si>
  <si>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</si>
  <si>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</si>
  <si>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</si>
  <si>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</si>
  <si>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</si>
  <si>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</si>
  <si>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</si>
  <si>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</si>
  <si>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</si>
  <si>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</si>
  <si>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</si>
  <si>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</si>
  <si>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</si>
  <si>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</si>
  <si>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</si>
  <si>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</si>
  <si>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</si>
  <si>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</si>
  <si>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</si>
  <si>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</si>
  <si>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</si>
  <si>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Jennifer Gstalder</t>
  </si>
  <si>
    <t xml:space="preserve">conforme AFNOR T90-395 oct. 2003</t>
  </si>
  <si>
    <t xml:space="preserve">Lez</t>
  </si>
  <si>
    <t xml:space="preserve">Mondragon</t>
  </si>
  <si>
    <t xml:space="preserve">06117450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</si>
  <si>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</si>
  <si>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</si>
  <si>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</si>
  <si>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</si>
  <si>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</si>
  <si>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</si>
  <si>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</si>
  <si>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</si>
  <si>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</si>
  <si>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</si>
  <si>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</si>
  <si>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</si>
  <si>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</si>
  <si>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</si>
  <si>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</si>
  <si>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</si>
  <si>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</si>
  <si>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</si>
  <si>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</si>
  <si>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</si>
  <si>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</si>
  <si>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</si>
  <si>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</si>
  <si>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</si>
  <si>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</si>
  <si>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</si>
  <si>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</si>
  <si>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</si>
  <si>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</si>
  <si>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</si>
  <si>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</si>
  <si>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</si>
  <si>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</si>
  <si>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</si>
  <si>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</si>
  <si>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</si>
  <si>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</si>
  <si>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</si>
  <si>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</si>
  <si>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</si>
  <si>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</si>
  <si>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</si>
  <si>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</si>
  <si>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</si>
  <si>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</si>
  <si>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</si>
  <si>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</si>
  <si>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</si>
  <si>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</si>
  <si>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(0,015 %)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</si>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</sst>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10.3333333333333</v>
      </c>
      <c r="M5" s="323"/>
      <c r="N5" s="324" t="s">
        <v>226</v>
      </c>
      <c r="O5" s="325" t="n">
        <v>10</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10.3333333333333</v>
      </c>
      <c r="O8" s="354" t="n">
        <f aca="false">IF(ISERROR(AVERAGE(J23:J82)),"      -",AVERAGE(J23:J82))</f>
        <v>1</v>
      </c>
      <c r="P8" s="355"/>
      <c r="Q8" s="280"/>
      <c r="R8" s="280"/>
      <c r="S8" s="280"/>
      <c r="T8" s="280"/>
      <c r="U8" s="280"/>
      <c r="V8" s="280"/>
      <c r="W8" s="292"/>
      <c r="X8" s="293"/>
    </row>
    <row r="9" customFormat="false" ht="13.8" hidden="false" customHeight="false" outlineLevel="0" collapsed="false">
      <c r="A9" s="313" t="s">
        <v>2634</v>
      </c>
      <c r="B9" s="356" t="n">
        <v>0.01</v>
      </c>
      <c r="C9" s="357"/>
      <c r="D9" s="358"/>
      <c r="E9" s="358"/>
      <c r="F9" s="359" t="n">
        <f aca="false">($B9*$B$7+$C9*$C$7)/100</f>
        <v>0.01</v>
      </c>
      <c r="G9" s="360"/>
      <c r="H9" s="361"/>
      <c r="I9" s="362"/>
      <c r="J9" s="363"/>
      <c r="K9" s="343"/>
      <c r="L9" s="364"/>
      <c r="M9" s="353" t="s">
        <v>2635</v>
      </c>
      <c r="N9" s="354" t="n">
        <f aca="false">IF(ISERROR(STDEVP(I23:I82)),"     -",STDEVP(I23:I82))</f>
        <v>0.471404520791032</v>
      </c>
      <c r="O9" s="354" t="n">
        <f aca="false">IF(ISERROR(STDEVP(J23:J82)),"      -",STDEVP(J23:J82))</f>
        <v>0</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10</v>
      </c>
      <c r="O10" s="376" t="n">
        <f aca="false">MIN(J23:J82)</f>
        <v>1</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11</v>
      </c>
      <c r="O11" s="376" t="n">
        <f aca="false">MAX(J23:J82)</f>
        <v>1</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1</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3</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3</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2</v>
      </c>
      <c r="L15" s="386"/>
      <c r="M15" s="407" t="s">
        <v>2653</v>
      </c>
      <c r="N15" s="408" t="n">
        <f aca="false">COUNTIF(J23:J82,"=1")</f>
        <v>3</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0.015</v>
      </c>
      <c r="C20" s="436" t="n">
        <f aca="false">SUM(C23:C82)</f>
        <v>0</v>
      </c>
      <c r="D20" s="437"/>
      <c r="E20" s="438" t="s">
        <v>2659</v>
      </c>
      <c r="F20" s="439" t="n">
        <f aca="false">($B20*$B$7+$C20*$C$7)/100</f>
        <v>0.015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0.015</v>
      </c>
      <c r="C21" s="449" t="n">
        <f aca="false">C20*C7/100</f>
        <v>0</v>
      </c>
      <c r="D21" s="381" t="str">
        <f aca="false">IF(F21=0,"",IF((ABS(F21-F19))&gt;(0.2*F21),CONCATENATE(" rec. par taxa (",F21," %) supérieur à 20 % !"),""))</f>
        <v> rec. par taxa (0,015 %) supérieur à 20 % !</v>
      </c>
      <c r="E21" s="450" t="str">
        <f aca="false">IF(F21=0,"",IF((ABS(F21-F19))&gt;(0.2*F21),CONCATENATE("ATTENTION : écart entre rec. par grp (",F19," %) ","et",""),""))</f>
        <v>ATTENTION : écart entre rec. par grp (0 %) et</v>
      </c>
      <c r="F21" s="451" t="n">
        <f aca="false">B21+C21</f>
        <v>0.015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226</v>
      </c>
      <c r="B23" s="475" t="n">
        <v>0.005</v>
      </c>
      <c r="C23" s="476"/>
      <c r="D23" s="477" t="str">
        <f aca="false">IF(ISERROR(VLOOKUP($A23,'liste reference'!$A$7:$D$904,2,0)),IF(ISERROR(VLOOKUP($A23,'liste reference'!$B$7:$D$904,1,0)),"",VLOOKUP($A23,'liste reference'!$B$7:$D$904,1,0)),VLOOKUP($A23,'liste reference'!$A$7:$D$904,2,0))</f>
        <v>Oscillatoria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11</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Oscillatoria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1108</v>
      </c>
      <c r="Q23" s="486" t="n">
        <f aca="false">IF(ISTEXT(H23),"",(B23*$B$7/100)+(C23*$C$7/100))</f>
        <v>0.005</v>
      </c>
      <c r="R23" s="487" t="n">
        <f aca="false">IF(OR(ISTEXT(H23),Q23=0),"",IF(Q23&lt;0.1,1,IF(Q23&lt;1,2,IF(Q23&lt;10,3,IF(Q23&lt;50,4,IF(Q23&gt;=50,5,""))))))</f>
        <v>1</v>
      </c>
      <c r="S23" s="487" t="n">
        <f aca="false">IF(ISERROR(R23*I23),0,R23*I23)</f>
        <v>11</v>
      </c>
      <c r="T23" s="487" t="n">
        <f aca="false">IF(ISERROR(R23*I23*J23),0,R23*I23*J23)</f>
        <v>11</v>
      </c>
      <c r="U23" s="487" t="n">
        <f aca="false">IF(ISERROR(R23*J23),0,R23*J23)</f>
        <v>1</v>
      </c>
      <c r="V23" s="488" t="str">
        <f aca="false">IF(AND(A23="",F23=0),"",IF(F23=0,"Il manque le(s) % de rec. !",""))</f>
        <v/>
      </c>
      <c r="W23" s="489"/>
      <c r="Y23" s="490" t="str">
        <f aca="false">IF(A23="new.cod","NEWCOD",IF(AND((Z23=""),ISTEXT(A23)),A23,IF(Z23="","",INDEX('liste reference'!$A$8:$A$904,Z23))))</f>
        <v>OSCSPX</v>
      </c>
      <c r="Z23" s="280" t="n">
        <f aca="false">IF(ISERROR(MATCH(A23,'liste reference'!$A$8:$A$904,0)),IF(ISERROR(MATCH(A23,'liste reference'!$B$8:$B$904,0)),"",(MATCH(A23,'liste reference'!$B$8:$B$904,0))),(MATCH(A23,'liste reference'!$A$8:$A$904,0)))</f>
        <v>56</v>
      </c>
      <c r="AA23" s="491"/>
      <c r="AB23" s="492"/>
      <c r="AC23" s="492"/>
      <c r="BB23" s="280" t="n">
        <f aca="false">IF(A23="","",1)</f>
        <v>1</v>
      </c>
    </row>
    <row r="24" customFormat="false" ht="13.2" hidden="false" customHeight="false" outlineLevel="0" collapsed="false">
      <c r="A24" s="493" t="s">
        <v>1708</v>
      </c>
      <c r="B24" s="494" t="n">
        <v>0.005</v>
      </c>
      <c r="C24" s="495"/>
      <c r="D24" s="477" t="str">
        <f aca="false">IF(ISERROR(VLOOKUP($A24,'liste reference'!$A$7:$D$904,2,0)),IF(ISERROR(VLOOKUP($A24,'liste reference'!$B$7:$D$904,1,0)),"",VLOOKUP($A24,'liste reference'!$B$7:$D$904,1,0)),VLOOKUP($A24,'liste reference'!$A$7:$D$904,2,0))</f>
        <v>Agrostis stolonifera</v>
      </c>
      <c r="E24" s="496" t="e">
        <f aca="false">IF(D24="",0,VLOOKUP(D24,D$22:D23,1,0))</f>
        <v>#N/A</v>
      </c>
      <c r="F24" s="497" t="n">
        <f aca="false">($B24*$B$7+$C24*$C$7)/100</f>
        <v>0.005</v>
      </c>
      <c r="G24" s="479" t="str">
        <f aca="false">IF(A24="","",IF(ISERROR(VLOOKUP($A24,'liste reference'!$A$7:$P$904,13,0)),IF(ISERROR(VLOOKUP($A24,'liste reference'!$B$7:$P$904,12,0)),"    -",VLOOKUP($A24,'liste reference'!$B$7:$P$904,12,0)),VLOOKUP($A24,'liste reference'!$A$7:$P$904,13,0)))</f>
        <v>PHe</v>
      </c>
      <c r="H24" s="480" t="n">
        <f aca="false">IF(A24="","x",IF(ISERROR(VLOOKUP($A24,'liste reference'!$A$8:$P$904,14,0)),IF(ISERROR(VLOOKUP($A24,'liste reference'!$B$8:$P$904,13,0)),"x",VLOOKUP($A24,'liste reference'!$B$8:$P$904,13,0)),VLOOKUP($A24,'liste reference'!$A$8:$P$904,14,0)))</f>
        <v>8</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Agrostis stolonifera</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1543</v>
      </c>
      <c r="Q24" s="486" t="n">
        <f aca="false">IF(ISTEXT(H24),"",(B24*$B$7/100)+(C24*$C$7/100))</f>
        <v>0.005</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Y24" s="490" t="str">
        <f aca="false">IF(A24="new.cod","NEWCOD",IF(AND((Z24=""),ISTEXT(A24)),A24,IF(Z24="","",INDEX('liste reference'!$A$8:$A$904,Z24))))</f>
        <v>AGRSTO</v>
      </c>
      <c r="Z24" s="280" t="n">
        <f aca="false">IF(ISERROR(MATCH(A24,'liste reference'!$A$8:$A$904,0)),IF(ISERROR(MATCH(A24,'liste reference'!$B$8:$B$904,0)),"",(MATCH(A24,'liste reference'!$B$8:$B$904,0))),(MATCH(A24,'liste reference'!$A$8:$A$904,0)))</f>
        <v>514</v>
      </c>
      <c r="AA24" s="491"/>
      <c r="AB24" s="492"/>
      <c r="AC24" s="492"/>
      <c r="BB24" s="280" t="n">
        <f aca="false">IF(A24="","",1)</f>
        <v>1</v>
      </c>
    </row>
    <row r="25" customFormat="false" ht="13.2" hidden="false" customHeight="false" outlineLevel="0" collapsed="false">
      <c r="A25" s="493" t="s">
        <v>2000</v>
      </c>
      <c r="B25" s="494" t="n">
        <v>0.005</v>
      </c>
      <c r="C25" s="495"/>
      <c r="D25" s="477" t="str">
        <f aca="false">IF(ISERROR(VLOOKUP($A25,'liste reference'!$A$7:$D$904,2,0)),IF(ISERROR(VLOOKUP($A25,'liste reference'!$B$7:$D$904,1,0)),"",VLOOKUP($A25,'liste reference'!$B$7:$D$904,1,0)),VLOOKUP($A25,'liste reference'!$A$7:$D$904,2,0))</f>
        <v>Phalaris arundinacea</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PHe</v>
      </c>
      <c r="H25" s="480" t="n">
        <f aca="false">IF(A25="","x",IF(ISERROR(VLOOKUP($A25,'liste reference'!$A$8:$P$904,14,0)),IF(ISERROR(VLOOKUP($A25,'liste reference'!$B$8:$P$904,13,0)),"x",VLOOKUP($A25,'liste reference'!$B$8:$P$904,13,0)),VLOOKUP($A25,'liste reference'!$A$8:$P$904,14,0)))</f>
        <v>8</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Phalaris arundinacea</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1577</v>
      </c>
      <c r="Q25" s="486" t="n">
        <f aca="false">IF(ISTEXT(H25),"",(B25*$B$7/100)+(C25*$C$7/100))</f>
        <v>0.005</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PHAARU</v>
      </c>
      <c r="Z25" s="280" t="n">
        <f aca="false">IF(ISERROR(MATCH(A25,'liste reference'!$A$8:$A$904,0)),IF(ISERROR(MATCH(A25,'liste reference'!$B$8:$B$904,0)),"",(MATCH(A25,'liste reference'!$B$8:$B$904,0))),(MATCH(A25,'liste reference'!$A$8:$A$904,0)))</f>
        <v>634</v>
      </c>
      <c r="AA25" s="491"/>
      <c r="AB25" s="492"/>
      <c r="AC25" s="492"/>
      <c r="BB25" s="280" t="n">
        <f aca="false">IF(A25="","",1)</f>
        <v>1</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Lez</v>
      </c>
      <c r="B84" s="529" t="str">
        <f aca="false">C3</f>
        <v>Mondragon</v>
      </c>
      <c r="C84" s="530" t="n">
        <f aca="false">A4</f>
        <v>41453</v>
      </c>
      <c r="D84" s="531" t="n">
        <f aca="false">IF(ISERROR(SUM($T$23:$T$82)/SUM($U$23:$U$82)),"",SUM($T$23:$T$82)/SUM($U$23:$U$82))</f>
        <v>10.3333333333333</v>
      </c>
      <c r="E84" s="532" t="n">
        <f aca="false">N13</f>
        <v>3</v>
      </c>
      <c r="F84" s="529" t="n">
        <f aca="false">N14</f>
        <v>3</v>
      </c>
      <c r="G84" s="529" t="n">
        <f aca="false">N15</f>
        <v>3</v>
      </c>
      <c r="H84" s="529" t="n">
        <f aca="false">N16</f>
        <v>0</v>
      </c>
      <c r="I84" s="529" t="n">
        <f aca="false">N17</f>
        <v>0</v>
      </c>
      <c r="J84" s="533" t="n">
        <f aca="false">N8</f>
        <v>10.3333333333333</v>
      </c>
      <c r="K84" s="531" t="n">
        <f aca="false">N9</f>
        <v>0.471404520791032</v>
      </c>
      <c r="L84" s="532" t="n">
        <f aca="false">N10</f>
        <v>10</v>
      </c>
      <c r="M84" s="532" t="n">
        <f aca="false">N11</f>
        <v>11</v>
      </c>
      <c r="N84" s="531" t="n">
        <f aca="false">O8</f>
        <v>1</v>
      </c>
      <c r="O84" s="531" t="n">
        <f aca="false">O9</f>
        <v>0</v>
      </c>
      <c r="P84" s="532" t="n">
        <f aca="false">O10</f>
        <v>1</v>
      </c>
      <c r="Q84" s="532" t="n">
        <f aca="false">O11</f>
        <v>1</v>
      </c>
      <c r="R84" s="532" t="n">
        <f aca="false">F21</f>
        <v>0.015</v>
      </c>
      <c r="S84" s="532" t="n">
        <f aca="false">K11</f>
        <v>0</v>
      </c>
      <c r="T84" s="532" t="n">
        <f aca="false">K12</f>
        <v>1</v>
      </c>
      <c r="U84" s="532" t="n">
        <f aca="false">K13</f>
        <v>0</v>
      </c>
      <c r="V84" s="534" t="n">
        <f aca="false">K14</f>
        <v>0</v>
      </c>
      <c r="W84" s="535" t="n">
        <f aca="false">K15</f>
        <v>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11</v>
      </c>
      <c r="T87" s="280"/>
      <c r="U87" s="280"/>
      <c r="V87" s="280"/>
    </row>
    <row r="88" customFormat="false" ht="13.2" hidden="true" customHeight="false" outlineLevel="0" collapsed="false">
      <c r="P88" s="280"/>
      <c r="Q88" s="280" t="s">
        <v>2687</v>
      </c>
      <c r="R88" s="280"/>
      <c r="S88" s="488" t="n">
        <f aca="false">VLOOKUP((S87),($S$23:$U$82),2,0)</f>
        <v>11</v>
      </c>
      <c r="T88" s="280"/>
      <c r="U88" s="280"/>
      <c r="V88" s="280"/>
    </row>
    <row r="89" customFormat="false" ht="13.2" hidden="true" customHeight="false" outlineLevel="0" collapsed="false">
      <c r="Q89" s="280" t="s">
        <v>2688</v>
      </c>
      <c r="R89" s="280"/>
      <c r="S89" s="488" t="n">
        <f aca="false">VLOOKUP((S87),($S$23:$U$82),3,0)</f>
        <v>1</v>
      </c>
      <c r="T89" s="280"/>
    </row>
    <row r="90" customFormat="false" ht="13.2" hidden="false" customHeight="false" outlineLevel="0" collapsed="false">
      <c r="Q90" s="280" t="s">
        <v>2689</v>
      </c>
      <c r="R90" s="280"/>
      <c r="S90" s="538" t="n">
        <f aca="false">IF(ISERROR(SUM($T$23:$T$82)/SUM($U$23:$U$82)),"",(SUM($T$23:$T$82)-S88)/(SUM($U$23:$U$82)-S89))</f>
        <v>10</v>
      </c>
      <c r="T90" s="280"/>
    </row>
    <row r="91" customFormat="false" ht="13.2" hidden="false" customHeight="false" outlineLevel="0" collapsed="false">
      <c r="Q91" s="487" t="s">
        <v>2690</v>
      </c>
      <c r="R91" s="487"/>
      <c r="S91" s="487" t="str">
        <f aca="false">INDEX('liste reference'!$A$8:$A$904,$T$91)</f>
        <v>OSCSPX</v>
      </c>
      <c r="T91" s="280" t="n">
        <f aca="false">IF(ISERROR(MATCH($S$93,'liste reference'!$A$8:$A$904,0)),MATCH($S$93,'liste reference'!$B$8:$B$904,0),(MATCH($S$93,'liste reference'!$A$8:$A$904,0)))</f>
        <v>56</v>
      </c>
      <c r="U91" s="527"/>
    </row>
    <row r="92" customFormat="false" ht="13.2" hidden="false" customHeight="false" outlineLevel="0" collapsed="false">
      <c r="Q92" s="280" t="s">
        <v>2691</v>
      </c>
      <c r="R92" s="280"/>
      <c r="S92" s="280" t="n">
        <f aca="false">MATCH(S87,$S$23:$S$82,0)</f>
        <v>1</v>
      </c>
      <c r="T92" s="280"/>
    </row>
    <row r="93" customFormat="false" ht="13.2" hidden="false" customHeight="false" outlineLevel="0" collapsed="false">
      <c r="Q93" s="487" t="s">
        <v>2692</v>
      </c>
      <c r="R93" s="280"/>
      <c r="S93" s="487" t="str">
        <f aca="false">INDEX($A$23:$A$82,$S$92)</f>
        <v>OSCSPX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8"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0</v>
      </c>
      <c r="T87" s="280"/>
      <c r="U87" s="280"/>
      <c r="V87" s="280"/>
    </row>
    <row r="88" customFormat="false" ht="13.2" hidden="true" customHeight="false" outlineLevel="0" collapsed="false">
      <c r="P88" s="280"/>
      <c r="Q88" s="280" t="s">
        <v>2687</v>
      </c>
      <c r="R88" s="280"/>
      <c r="S88" s="488" t="n">
        <f aca="false">VLOOKUP((S87),($S$23:$U$82),2,0)</f>
        <v>0</v>
      </c>
      <c r="T88" s="280"/>
      <c r="U88" s="280"/>
      <c r="V88" s="280"/>
    </row>
    <row r="89" customFormat="false" ht="13.2" hidden="true" customHeight="false" outlineLevel="0" collapsed="false">
      <c r="Q89" s="280" t="s">
        <v>2688</v>
      </c>
      <c r="R89" s="280"/>
      <c r="S89" s="488" t="n">
        <f aca="false">VLOOKUP((S87),($S$23:$U$82),3,0)</f>
        <v>0</v>
      </c>
      <c r="T89" s="280"/>
    </row>
    <row r="90" customFormat="false" ht="13.2" hidden="false" customHeight="false" outlineLevel="0" collapsed="false">
      <c r="Q90" s="280" t="s">
        <v>2689</v>
      </c>
      <c r="R90" s="280"/>
      <c r="S90" s="538" t="str">
        <f aca="false">IF(ISERROR(SUM($T$23:$T$82)/SUM($U$23:$U$82)),"",(SUM($T$23:$T$82)-S88)/(SUM($U$23:$U$82)-S89))</f>
        <v/>
      </c>
      <c r="T90" s="280"/>
    </row>
    <row r="91" customFormat="false" ht="13.2"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2691</v>
      </c>
      <c r="R92" s="280"/>
      <c r="S92" s="280" t="n">
        <f aca="false">MATCH(S87,$S$23:$S$82,0)</f>
        <v>1</v>
      </c>
      <c r="T92" s="280"/>
    </row>
    <row r="93" customFormat="false" ht="13.2" hidden="false" customHeight="false" outlineLevel="0" collapsed="false">
      <c r="Q93" s="487" t="s">
        <v>2692</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2700</v>
      </c>
      <c r="B1" s="549"/>
      <c r="C1" s="549"/>
      <c r="D1" s="549"/>
    </row>
    <row r="2" customFormat="false" ht="13.8" hidden="false" customHeight="false" outlineLevel="0" collapsed="false">
      <c r="A2" s="550" t="s">
        <v>2701</v>
      </c>
      <c r="B2" s="551"/>
      <c r="C2" s="552"/>
      <c r="D2" s="552"/>
    </row>
    <row r="3" customFormat="false" ht="14.4" hidden="false" customHeight="false" outlineLevel="0" collapsed="false">
      <c r="A3" s="550" t="s">
        <v>2702</v>
      </c>
      <c r="B3" s="551"/>
      <c r="C3" s="552"/>
      <c r="D3" s="553" t="s">
        <v>2703</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2704</v>
      </c>
      <c r="G15" s="571"/>
      <c r="H15" s="572" t="s">
        <v>2705</v>
      </c>
      <c r="I15" s="571"/>
    </row>
    <row r="16" customFormat="false" ht="14.4" hidden="false" customHeight="false" outlineLevel="0" collapsed="false">
      <c r="A16" s="567" t="s">
        <v>1708</v>
      </c>
      <c r="B16" s="566" t="s">
        <v>1709</v>
      </c>
      <c r="C16" s="568"/>
      <c r="D16" s="569"/>
      <c r="F16" s="573" t="s">
        <v>2706</v>
      </c>
      <c r="G16" s="574"/>
      <c r="H16" s="573" t="s">
        <v>2706</v>
      </c>
      <c r="I16" s="575"/>
    </row>
    <row r="17" customFormat="false" ht="14.4" hidden="false" customHeight="false" outlineLevel="0" collapsed="false">
      <c r="A17" s="565" t="s">
        <v>2127</v>
      </c>
      <c r="B17" s="566" t="s">
        <v>2128</v>
      </c>
      <c r="C17" s="568"/>
      <c r="D17" s="569"/>
      <c r="F17" s="576" t="s">
        <v>2707</v>
      </c>
      <c r="G17" s="577"/>
      <c r="H17" s="576" t="s">
        <v>2707</v>
      </c>
      <c r="I17" s="578"/>
    </row>
    <row r="18" customFormat="false" ht="14.4" hidden="false" customHeight="false" outlineLevel="0" collapsed="false">
      <c r="A18" s="565" t="s">
        <v>1212</v>
      </c>
      <c r="B18" s="566" t="s">
        <v>1213</v>
      </c>
      <c r="C18" s="568"/>
      <c r="D18" s="569"/>
      <c r="F18" s="576" t="s">
        <v>2708</v>
      </c>
      <c r="G18" s="577"/>
      <c r="H18" s="576" t="s">
        <v>2708</v>
      </c>
      <c r="I18" s="578"/>
    </row>
    <row r="19" customFormat="false" ht="14.4" hidden="false" customHeight="false" outlineLevel="0" collapsed="false">
      <c r="A19" s="565" t="s">
        <v>1711</v>
      </c>
      <c r="B19" s="566" t="s">
        <v>1712</v>
      </c>
      <c r="C19" s="568"/>
      <c r="D19" s="569"/>
      <c r="F19" s="576" t="s">
        <v>2709</v>
      </c>
      <c r="G19" s="577"/>
      <c r="H19" s="576" t="s">
        <v>2709</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2711</v>
      </c>
      <c r="G21" s="577"/>
      <c r="H21" s="576" t="s">
        <v>2711</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2624</v>
      </c>
      <c r="G23" s="577"/>
      <c r="H23" s="576" t="s">
        <v>2624</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2637</v>
      </c>
    </row>
    <row r="36" customFormat="false" ht="14.4" hidden="false" customHeight="false" outlineLevel="0" collapsed="false">
      <c r="A36" s="567" t="s">
        <v>320</v>
      </c>
      <c r="B36" s="566" t="s">
        <v>321</v>
      </c>
      <c r="C36" s="568"/>
      <c r="D36" s="569"/>
      <c r="F36" s="585" t="s">
        <v>2717</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2014-04-07T16:55:31Z</dcterms:modified>
  <cp:revision>0</cp:revision>
  <dc:subject/>
  <dc:title>Feuille d'aide au calcul de l'IBMR</dc:title>
</cp:coreProperties>
</file>