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Eygues à Caderousse"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'Eygues à Caderousse'!$A$1:$O$82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<sst xmlns="http://schemas.openxmlformats.org/spreadsheetml/2006/main" count="9448" uniqueCount="2731">
  <si>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</si>
  <si>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</si>
  <si>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</si>
  <si>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</si>
  <si>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</si>
  <si>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</si>
  <si>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</si>
  <si>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</si>
  <si>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</si>
  <si>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</si>
  <si>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</si>
  <si>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</si>
  <si>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</si>
  <si>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</si>
  <si>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</si>
  <si>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</si>
  <si>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</si>
  <si>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</si>
  <si>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</si>
  <si>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</si>
  <si>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</si>
  <si>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</si>
  <si>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</si>
  <si>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</si>
  <si>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</si>
  <si>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</si>
  <si>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</si>
  <si>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</si>
  <si>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</si>
  <si>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</si>
  <si>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</si>
  <si>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</si>
  <si>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</si>
  <si>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</si>
  <si>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</si>
  <si>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</si>
  <si>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</si>
  <si>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</si>
  <si>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</si>
  <si>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</si>
  <si>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</si>
  <si>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</si>
  <si>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</si>
  <si>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</si>
  <si>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</si>
  <si>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</si>
  <si>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</si>
  <si>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</si>
  <si>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</si>
  <si>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</si>
  <si>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</si>
  <si>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</si>
  <si>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</si>
  <si>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</si>
  <si>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</si>
  <si>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</si>
  <si>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</si>
  <si>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</si>
  <si>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</si>
  <si>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</si>
  <si>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</si>
  <si>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</si>
  <si>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</si>
  <si>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</si>
  <si>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</si>
  <si>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</si>
  <si>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</si>
  <si>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</si>
  <si>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</si>
  <si>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</si>
  <si>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</si>
  <si>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</si>
  <si>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</si>
  <si>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</si>
  <si>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</si>
  <si>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</si>
  <si>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</si>
  <si>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</si>
  <si>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</si>
  <si>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</si>
  <si>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</si>
  <si>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</si>
  <si>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</si>
  <si>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</si>
  <si>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</si>
  <si>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</si>
  <si>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</si>
  <si>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</si>
  <si>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</si>
  <si>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</si>
  <si>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</si>
  <si>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</si>
  <si>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</si>
  <si>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</si>
  <si>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</si>
  <si>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</si>
  <si>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</si>
  <si>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</si>
  <si>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</si>
  <si>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</si>
  <si>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</si>
  <si>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</si>
  <si>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</si>
  <si>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</si>
  <si>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</si>
  <si>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</si>
  <si>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</si>
  <si>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</si>
  <si>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</si>
  <si>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</si>
  <si>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</si>
  <si>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</si>
  <si>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</si>
  <si>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</si>
  <si>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</si>
  <si>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</si>
  <si>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</si>
  <si>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</si>
  <si>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</si>
  <si>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</si>
  <si>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</si>
  <si>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</si>
  <si>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</si>
  <si>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</si>
  <si>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</si>
  <si>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</si>
  <si>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</si>
  <si>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</si>
  <si>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</si>
  <si>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</si>
  <si>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</si>
  <si>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</si>
  <si>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</si>
  <si>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</si>
  <si>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</si>
  <si>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</si>
  <si>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</si>
  <si>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</si>
  <si>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</si>
  <si>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</si>
  <si>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</si>
  <si>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</si>
  <si>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</si>
  <si>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</si>
  <si>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</si>
  <si>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</si>
  <si>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</si>
  <si>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</si>
  <si>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</si>
  <si>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</si>
  <si>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</si>
  <si>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</si>
  <si>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</si>
  <si>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</si>
  <si>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</si>
  <si>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</si>
  <si>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</si>
  <si>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</si>
  <si>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</si>
  <si>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</si>
  <si>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</si>
  <si>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</si>
  <si>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</si>
  <si>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</si>
  <si>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</si>
  <si>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</si>
  <si>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</si>
  <si>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</si>
  <si>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</si>
  <si>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</si>
  <si>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</si>
  <si>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</si>
  <si>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</si>
  <si>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</si>
  <si>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</si>
  <si>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</si>
  <si>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</si>
  <si>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</si>
  <si>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</si>
  <si>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</si>
  <si>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</si>
  <si>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</si>
  <si>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</si>
  <si>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</si>
  <si>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</si>
  <si>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</si>
  <si>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</si>
  <si>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</si>
  <si>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</si>
  <si>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</si>
  <si>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</si>
  <si>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</si>
  <si>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</si>
  <si>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</si>
  <si>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</si>
  <si>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</si>
  <si>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</si>
  <si>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</si>
  <si>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</si>
  <si>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</si>
  <si>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</si>
  <si>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</si>
  <si>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</si>
  <si>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</si>
  <si>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</si>
  <si>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</si>
  <si>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</si>
  <si>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</si>
  <si>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</si>
  <si>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</si>
  <si>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</si>
  <si>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</si>
  <si>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</si>
  <si>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</si>
  <si>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</si>
  <si>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</si>
  <si>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</si>
  <si>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</si>
  <si>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</si>
  <si>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</si>
  <si>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</si>
  <si>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</si>
  <si>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</si>
  <si>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</si>
  <si>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</si>
  <si>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</si>
  <si>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</si>
  <si>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</si>
  <si>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</si>
  <si>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</si>
  <si>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</si>
  <si>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</si>
  <si>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</si>
  <si>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</si>
  <si>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</si>
  <si>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</si>
  <si>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</si>
  <si>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</si>
  <si>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</si>
  <si>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</si>
  <si>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</si>
  <si>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</si>
  <si>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</si>
  <si>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</si>
  <si>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</si>
  <si>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</si>
  <si>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</si>
  <si>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</si>
  <si>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</si>
  <si>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</si>
  <si>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</si>
  <si>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</si>
  <si>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</si>
  <si>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</si>
  <si>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</si>
  <si>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</si>
  <si>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</si>
  <si>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</si>
  <si>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</si>
  <si>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</si>
  <si>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</si>
  <si>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</si>
  <si>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</si>
  <si>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</si>
  <si>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</si>
  <si>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</si>
  <si>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</si>
  <si>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</si>
  <si>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</si>
  <si>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</si>
  <si>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</si>
  <si>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</si>
  <si>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</si>
  <si>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</si>
  <si>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</si>
  <si>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</si>
  <si>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</si>
  <si>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</si>
  <si>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</si>
  <si>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</si>
  <si>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</si>
  <si>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</si>
  <si>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</si>
  <si>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</si>
  <si>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</si>
  <si>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</si>
  <si>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</si>
  <si>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</si>
  <si>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</si>
  <si>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</si>
  <si>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</si>
  <si>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</si>
  <si>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</si>
  <si>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</si>
  <si>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</si>
  <si>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</si>
  <si>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</si>
  <si>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</si>
  <si>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</si>
  <si>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</si>
  <si>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</si>
  <si>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</si>
  <si>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</si>
  <si>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</si>
  <si>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</si>
  <si>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</si>
  <si>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</si>
  <si>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</si>
  <si>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</si>
  <si>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</si>
  <si>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</si>
  <si>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</si>
  <si>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</si>
  <si>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</si>
  <si>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</si>
  <si>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</si>
  <si>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</si>
  <si>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</si>
  <si>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</si>
  <si>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</si>
  <si>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</si>
  <si>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</si>
  <si>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</si>
  <si>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</si>
  <si>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</si>
  <si>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</si>
  <si>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</si>
  <si>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</si>
  <si>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</si>
  <si>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</si>
  <si>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</si>
  <si>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</si>
  <si>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</si>
  <si>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</si>
  <si>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</si>
  <si>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</si>
  <si>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</si>
  <si>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</si>
  <si>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</si>
  <si>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</si>
  <si>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</si>
  <si>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</si>
  <si>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</si>
  <si>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</si>
  <si>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</si>
  <si>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</si>
  <si>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</si>
  <si>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</si>
  <si>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</si>
  <si>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</si>
  <si>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</si>
  <si>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</si>
  <si>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</si>
  <si>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</si>
  <si>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</si>
  <si>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</si>
  <si>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</si>
  <si>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</si>
  <si>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</si>
  <si>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</si>
  <si>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</si>
  <si>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</si>
  <si>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</si>
  <si>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</si>
  <si>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</si>
  <si>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</si>
  <si>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</si>
  <si>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</si>
  <si>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</si>
  <si>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</si>
  <si>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</si>
  <si>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</si>
  <si>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</si>
  <si>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</si>
  <si>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</si>
  <si>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</si>
  <si>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</si>
  <si>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</si>
  <si>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</si>
  <si>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</si>
  <si>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</si>
  <si>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</si>
  <si>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</si>
  <si>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</si>
  <si>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</si>
  <si>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</si>
  <si>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</si>
  <si>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</si>
  <si>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</si>
  <si>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</si>
  <si>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</si>
  <si>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</si>
  <si>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</si>
  <si>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</si>
  <si>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</si>
  <si>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</si>
  <si>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</si>
  <si>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</si>
  <si>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</si>
  <si>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</si>
  <si>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</si>
  <si>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</si>
  <si>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</si>
  <si>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</si>
  <si>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</si>
  <si>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</si>
  <si>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</si>
  <si>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</si>
  <si>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</si>
  <si>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</si>
  <si>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</si>
  <si>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</si>
  <si>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</si>
  <si>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</si>
  <si>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</si>
  <si>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</si>
  <si>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</si>
  <si>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</si>
  <si>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</si>
  <si>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</si>
  <si>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</si>
  <si>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</si>
  <si>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</si>
  <si>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</si>
  <si>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</si>
  <si>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</si>
  <si>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</si>
  <si>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</si>
  <si>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</si>
  <si>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</si>
  <si>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</si>
  <si>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</si>
  <si>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</si>
  <si>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</si>
  <si>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</si>
  <si>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</si>
  <si>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</si>
  <si>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</si>
  <si>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</si>
  <si>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</si>
  <si>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</si>
  <si>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</si>
  <si>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</si>
  <si>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</si>
  <si>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</si>
  <si>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</si>
  <si>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</si>
  <si>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</si>
  <si>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</si>
  <si>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</si>
  <si>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</si>
  <si>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</si>
  <si>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</si>
  <si>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</si>
  <si>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</si>
  <si>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</si>
  <si>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</si>
  <si>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</si>
  <si>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</si>
  <si>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</si>
  <si>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</si>
  <si>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</si>
  <si>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</si>
  <si>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</si>
  <si>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</si>
  <si>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</si>
  <si>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</si>
  <si>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</si>
  <si>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</si>
  <si>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</si>
  <si>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</si>
  <si>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</si>
  <si>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</si>
  <si>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</si>
  <si>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</si>
  <si>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</si>
  <si>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</si>
  <si>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</si>
  <si>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</si>
  <si>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</si>
  <si>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</si>
  <si>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</si>
  <si>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</si>
  <si>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</si>
  <si>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</si>
  <si>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</si>
  <si>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</si>
  <si>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</si>
  <si>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</si>
  <si>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</si>
  <si>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</si>
  <si>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</si>
  <si>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</si>
  <si>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</si>
  <si>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</si>
  <si>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</si>
  <si>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</si>
  <si>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</si>
  <si>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</si>
  <si>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</si>
  <si>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</si>
  <si>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</si>
  <si>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</si>
  <si>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</si>
  <si>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</si>
  <si>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</si>
  <si>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</si>
  <si>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</si>
  <si>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</si>
  <si>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</si>
  <si>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</si>
  <si>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</si>
  <si>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</si>
  <si>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</si>
  <si>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</si>
  <si>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</si>
  <si>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</si>
  <si>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</si>
  <si>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</si>
  <si>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</si>
  <si>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</si>
  <si>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</si>
  <si>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</si>
  <si>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</si>
  <si>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</si>
  <si>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</si>
  <si>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</si>
  <si>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</si>
  <si>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</si>
  <si>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</si>
  <si>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</si>
  <si>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</si>
  <si>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</si>
  <si>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</si>
  <si>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</si>
  <si>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</si>
  <si>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</si>
  <si>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</si>
  <si>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</si>
  <si>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</si>
  <si>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</si>
  <si>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</si>
  <si>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</si>
  <si>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</si>
  <si>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</si>
  <si>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</si>
  <si>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</si>
  <si>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</si>
  <si>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</si>
  <si>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</si>
  <si>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</si>
  <si>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</si>
  <si>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</si>
  <si>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</si>
  <si>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</si>
  <si>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</si>
  <si>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</si>
  <si>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</si>
  <si>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</si>
  <si>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</si>
  <si>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</si>
  <si>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</si>
  <si>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</si>
  <si>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</si>
  <si>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</si>
  <si>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</si>
  <si>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</si>
  <si>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</si>
  <si>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</si>
  <si>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</si>
  <si>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</si>
  <si>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</si>
  <si>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</si>
  <si>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</si>
  <si>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</si>
  <si>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</si>
  <si>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</si>
  <si>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</si>
  <si>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</si>
  <si>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</si>
  <si>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</si>
  <si>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</si>
  <si>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</si>
  <si>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</si>
  <si>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</si>
  <si>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</si>
  <si>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</si>
  <si>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</si>
  <si>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</si>
  <si>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</si>
  <si>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</si>
  <si>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</si>
  <si>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</si>
  <si>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</si>
  <si>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</si>
  <si>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</si>
  <si>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</si>
  <si>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</si>
  <si>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</si>
  <si>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</si>
  <si>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</si>
  <si>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</si>
  <si>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</si>
  <si>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</si>
  <si>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</si>
  <si>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</si>
  <si>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</si>
  <si>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</si>
  <si>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</si>
  <si>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</si>
  <si>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</si>
  <si>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</si>
  <si>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</si>
  <si>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</si>
  <si>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</si>
  <si>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</si>
  <si>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</si>
  <si>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</si>
  <si>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</si>
  <si>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</si>
  <si>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</si>
  <si>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</si>
  <si>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</si>
  <si>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</si>
  <si>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</si>
  <si>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</si>
  <si>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</si>
  <si>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</si>
  <si>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</si>
  <si>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</si>
  <si>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</si>
  <si>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</si>
  <si>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</si>
  <si>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</si>
  <si>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</si>
  <si>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</si>
  <si>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</si>
  <si>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</si>
  <si>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</si>
  <si>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</si>
  <si>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</si>
  <si>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</si>
  <si>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</si>
  <si>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</si>
  <si>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</si>
  <si>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</si>
  <si>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</si>
  <si>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</si>
  <si>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</si>
  <si>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</si>
  <si>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</si>
  <si>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</si>
  <si>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</si>
  <si>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</si>
  <si>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</si>
  <si>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</si>
  <si>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</si>
  <si>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</si>
  <si>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</si>
  <si>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</si>
  <si>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</si>
  <si>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</si>
  <si>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</si>
  <si>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</si>
  <si>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</si>
  <si>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</si>
  <si>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</si>
  <si>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</si>
  <si>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</si>
  <si>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</si>
  <si>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</si>
  <si>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</si>
  <si>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</si>
  <si>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</si>
  <si>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</si>
  <si>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</si>
  <si>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</si>
  <si>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</si>
  <si>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</si>
  <si>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</si>
  <si>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</si>
  <si>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</si>
  <si>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</si>
  <si>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</si>
  <si>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</si>
  <si>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</si>
  <si>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</si>
  <si>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</si>
  <si>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</si>
  <si>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</si>
  <si>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</si>
  <si>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</si>
  <si>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</si>
  <si>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</si>
  <si>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</si>
  <si>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</si>
  <si>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</si>
  <si>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</si>
  <si>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</si>
  <si>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</si>
  <si>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</si>
  <si>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</si>
  <si>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</si>
  <si>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</si>
  <si>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</si>
  <si>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</si>
  <si>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</si>
  <si>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</si>
  <si>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</si>
  <si>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</si>
  <si>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</si>
  <si>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</si>
  <si>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</si>
  <si>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</si>
  <si>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</si>
  <si>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</si>
  <si>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</si>
  <si>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</si>
  <si>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</si>
  <si>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</si>
  <si>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</si>
  <si>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</si>
  <si>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</si>
  <si>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</si>
  <si>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</si>
  <si>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</si>
  <si>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</si>
  <si>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</si>
  <si>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</si>
  <si>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</si>
  <si>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</si>
  <si>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</si>
  <si>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</si>
  <si>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</si>
  <si>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</si>
  <si>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</si>
  <si>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</si>
  <si>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</si>
  <si>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</si>
  <si>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</si>
  <si>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</si>
  <si>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</si>
  <si>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</si>
  <si>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</si>
  <si>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</si>
  <si>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</si>
  <si>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</si>
  <si>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</si>
  <si>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</si>
  <si>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</si>
  <si>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</si>
  <si>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</si>
  <si>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</si>
  <si>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</si>
  <si>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</si>
  <si>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</si>
  <si>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</si>
  <si>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</si>
  <si>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</si>
  <si>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</si>
  <si>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</si>
  <si>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</si>
  <si>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</si>
  <si>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</si>
  <si>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</si>
  <si>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</si>
  <si>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</si>
  <si>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</si>
  <si>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</si>
  <si>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</si>
  <si>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</si>
  <si>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</si>
  <si>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</si>
  <si>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</si>
  <si>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</si>
  <si>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</si>
  <si>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</si>
  <si>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</si>
  <si>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</si>
  <si>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</si>
  <si>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</si>
  <si>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</si>
  <si>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</si>
  <si>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</si>
  <si>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</si>
  <si>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</si>
  <si>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</si>
  <si>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</si>
  <si>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</si>
  <si>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</si>
  <si>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</si>
  <si>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</si>
  <si>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</si>
  <si>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</si>
  <si>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</si>
  <si>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</si>
  <si>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</si>
  <si>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</si>
  <si>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</si>
  <si>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</si>
  <si>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</si>
  <si>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</si>
  <si>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</si>
  <si>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</si>
  <si>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</si>
  <si>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</si>
  <si>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</si>
  <si>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</si>
  <si>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</si>
  <si>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</si>
  <si>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</si>
  <si>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</si>
  <si>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</si>
  <si>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</si>
  <si>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</si>
  <si>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</si>
  <si>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</si>
  <si>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</si>
  <si>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</si>
  <si>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</si>
  <si>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</si>
  <si>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</si>
  <si>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</si>
  <si>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</si>
  <si>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</si>
  <si>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</si>
  <si>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</si>
  <si>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</si>
  <si>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</si>
  <si>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</si>
  <si>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</si>
  <si>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</si>
  <si>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</si>
  <si>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</si>
  <si>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</si>
  <si>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</si>
  <si>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</si>
  <si>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</si>
  <si>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</si>
  <si>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</si>
  <si>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</si>
  <si>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</si>
  <si>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</si>
  <si>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</si>
  <si>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</si>
  <si>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</si>
  <si>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</si>
  <si>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</si>
  <si>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</si>
  <si>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</si>
  <si>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</si>
  <si>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</si>
  <si>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</si>
  <si>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</si>
  <si>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</si>
  <si>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</si>
  <si>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</si>
  <si>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</si>
  <si>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</si>
  <si>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</si>
  <si>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</si>
  <si>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</si>
  <si>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</si>
  <si>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</si>
  <si>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</si>
  <si>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</si>
  <si>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</si>
  <si>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</si>
  <si>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</si>
  <si>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</si>
  <si>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</si>
  <si>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</si>
  <si>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</si>
  <si>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</si>
  <si>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</si>
  <si>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</si>
  <si>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</si>
  <si>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</si>
  <si>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</si>
  <si>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</si>
  <si>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</si>
  <si>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</si>
  <si>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</si>
  <si>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</si>
  <si>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</si>
  <si>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</si>
  <si>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</si>
  <si>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</si>
  <si>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</si>
  <si>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</si>
  <si>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</si>
  <si>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</si>
  <si>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</si>
  <si>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</si>
  <si>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</si>
  <si>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</si>
  <si>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</si>
  <si>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</si>
  <si>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</si>
  <si>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</si>
  <si>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</si>
  <si>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</si>
  <si>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</si>
  <si>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</si>
  <si>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</si>
  <si>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</si>
  <si>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</si>
  <si>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</si>
  <si>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</si>
  <si>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</si>
  <si>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</si>
  <si>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</si>
  <si>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</si>
  <si>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</si>
  <si>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</si>
  <si>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</si>
  <si>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</si>
  <si>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</si>
  <si>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</si>
  <si>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</si>
  <si>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</si>
  <si>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</si>
  <si>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</si>
  <si>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</si>
  <si>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</si>
  <si>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</si>
  <si>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</si>
  <si>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</si>
  <si>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</si>
  <si>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</si>
  <si>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</si>
  <si>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</si>
  <si>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</si>
  <si>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</si>
  <si>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</si>
  <si>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</si>
  <si>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</si>
  <si>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</si>
  <si>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</si>
  <si>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</si>
  <si>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</si>
  <si>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</si>
  <si>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</si>
  <si>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</si>
  <si>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</si>
  <si>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</si>
  <si>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</si>
  <si>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</si>
  <si>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</si>
  <si>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</si>
  <si>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</si>
  <si>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</si>
  <si>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</si>
  <si>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</si>
  <si>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</si>
  <si>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</si>
  <si>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</si>
  <si>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</si>
  <si>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</si>
  <si>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</si>
  <si>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</si>
  <si>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</si>
  <si>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</si>
  <si>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</si>
  <si>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</si>
  <si>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</si>
  <si>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</si>
  <si>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</si>
  <si>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</si>
  <si>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</si>
  <si>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</si>
  <si>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</si>
  <si>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</si>
  <si>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</si>
  <si>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</si>
  <si>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</si>
  <si>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</si>
  <si>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</si>
  <si>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</si>
  <si>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</si>
  <si>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</si>
  <si>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</si>
  <si>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</si>
  <si>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</si>
  <si>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</si>
  <si>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</si>
  <si>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</si>
  <si>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</si>
  <si>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</si>
  <si>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</si>
  <si>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</si>
  <si>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</si>
  <si>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</si>
  <si>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</si>
  <si>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</si>
  <si>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</si>
  <si>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</si>
  <si>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</si>
  <si>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</si>
  <si>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</si>
  <si>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</si>
  <si>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</si>
  <si>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</si>
  <si>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</si>
  <si>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</si>
  <si>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</si>
  <si>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</si>
  <si>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</si>
  <si>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</si>
  <si>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</si>
  <si>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</si>
  <si>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</si>
  <si>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</si>
  <si>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</si>
  <si>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</si>
  <si>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</si>
  <si>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</si>
  <si>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</si>
  <si>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</si>
  <si>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</si>
  <si>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</si>
  <si>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</si>
  <si>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</si>
  <si>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</si>
  <si>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</si>
  <si>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</si>
  <si>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</si>
  <si>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</si>
  <si>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</si>
  <si>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</si>
  <si>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</si>
  <si>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</si>
  <si>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</si>
  <si>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</si>
  <si>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</si>
  <si>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</si>
  <si>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</si>
  <si>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</si>
  <si>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</si>
  <si>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</si>
  <si>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</si>
  <si>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</si>
  <si>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</si>
  <si>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</si>
  <si>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</si>
  <si>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</si>
  <si>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</si>
  <si>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</si>
  <si>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</si>
  <si>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</si>
  <si>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</si>
  <si>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</si>
  <si>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</si>
  <si>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</si>
  <si>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</si>
  <si>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</si>
  <si>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</si>
  <si>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</si>
  <si>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</si>
  <si>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</si>
  <si>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</si>
  <si>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</si>
  <si>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</si>
  <si>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</si>
  <si>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</si>
  <si>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</si>
  <si>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</si>
  <si>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</si>
  <si>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</si>
  <si>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</si>
  <si>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</si>
  <si>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</si>
  <si>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</si>
  <si>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</si>
  <si>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</si>
  <si>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</si>
  <si>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</si>
  <si>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</si>
  <si>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</si>
  <si>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</si>
  <si>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</si>
  <si>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</si>
  <si>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</si>
  <si>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</si>
  <si>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</si>
  <si>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</si>
  <si>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</si>
  <si>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</si>
  <si>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</si>
  <si>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</si>
  <si>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</si>
  <si>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</si>
  <si>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</si>
  <si>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</si>
  <si>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</si>
  <si>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</si>
  <si>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</si>
  <si>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</si>
  <si>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</si>
  <si>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</si>
  <si>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</si>
  <si>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</si>
  <si>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</si>
  <si>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</si>
  <si>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</si>
  <si>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</si>
  <si>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</si>
  <si>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</si>
  <si>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</si>
  <si>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</si>
  <si>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</si>
  <si>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</si>
  <si>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</si>
  <si>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</si>
  <si>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</si>
  <si>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</si>
  <si>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</si>
  <si>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</si>
  <si>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</si>
  <si>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</si>
  <si>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</si>
  <si>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</si>
  <si>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</si>
  <si>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</si>
  <si>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</si>
  <si>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</si>
  <si>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</si>
  <si>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</si>
  <si>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</si>
  <si>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</si>
  <si>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</si>
  <si>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</si>
  <si>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</si>
  <si>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</si>
  <si>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</si>
  <si>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</si>
  <si>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</si>
  <si>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</si>
  <si>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</si>
  <si>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</si>
  <si>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</si>
  <si>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</si>
  <si>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</si>
  <si>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</si>
  <si>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</si>
  <si>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</si>
  <si>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</si>
  <si>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</si>
  <si>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</si>
  <si>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</si>
  <si>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</si>
  <si>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</si>
  <si>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</si>
  <si>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</si>
  <si>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</si>
  <si>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</si>
  <si>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</si>
  <si>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</si>
  <si>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</si>
  <si>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</si>
  <si>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</si>
  <si>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</si>
  <si>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</si>
  <si>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</si>
  <si>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</si>
  <si>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</si>
  <si>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</si>
  <si>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</si>
  <si>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</si>
  <si>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</si>
  <si>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</si>
  <si>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</si>
  <si>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</si>
  <si>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</si>
  <si>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</si>
  <si>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</si>
  <si>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</si>
  <si>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</si>
  <si>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</si>
  <si>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</si>
  <si>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</si>
  <si>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</si>
  <si>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</si>
  <si>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</si>
  <si>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</si>
  <si>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</si>
  <si>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</si>
  <si>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</si>
  <si>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</si>
  <si>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</si>
  <si>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</si>
  <si>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</si>
  <si>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</si>
  <si>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</si>
  <si>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</si>
  <si>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</si>
  <si>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</si>
  <si>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</si>
  <si>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</si>
  <si>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</si>
  <si>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</si>
  <si>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</si>
  <si>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</si>
  <si>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</si>
  <si>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</si>
  <si>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</si>
  <si>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</si>
  <si>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</si>
  <si>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</si>
  <si>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</si>
  <si>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</si>
  <si>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</si>
  <si>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</si>
  <si>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</si>
  <si>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</si>
  <si>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</si>
  <si>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</si>
  <si>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</si>
  <si>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</si>
  <si>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</si>
  <si>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</si>
  <si>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</si>
  <si>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</si>
  <si>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</si>
  <si>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</si>
  <si>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</si>
  <si>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</si>
  <si>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</si>
  <si>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</si>
  <si>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</si>
  <si>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</si>
  <si>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</si>
  <si>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</si>
  <si>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</si>
  <si>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</si>
  <si>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</si>
  <si>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</si>
  <si>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</si>
  <si>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</si>
  <si>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</si>
  <si>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</si>
  <si>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</si>
  <si>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</si>
  <si>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</si>
  <si>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</si>
  <si>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</si>
  <si>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</si>
  <si>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</si>
  <si>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</si>
  <si>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</si>
  <si>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</si>
  <si>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</si>
  <si>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</si>
  <si>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</si>
  <si>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</si>
  <si>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</si>
  <si>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</si>
  <si>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</si>
  <si>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</si>
  <si>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</si>
  <si>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</si>
  <si>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</si>
  <si>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</si>
  <si>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</si>
  <si>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</si>
  <si>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</si>
  <si>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</si>
  <si>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</si>
  <si>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</si>
  <si>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</si>
  <si>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</si>
  <si>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</si>
  <si>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</si>
  <si>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</si>
  <si>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</si>
  <si>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</si>
  <si>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</si>
  <si>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</si>
  <si>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</si>
  <si>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</si>
  <si>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</si>
  <si>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</si>
  <si>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</si>
  <si>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</si>
  <si>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</si>
  <si>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</si>
  <si>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</si>
  <si>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</si>
  <si>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</si>
  <si>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</si>
  <si>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</si>
  <si>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</si>
  <si>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</si>
  <si>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</si>
  <si>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</si>
  <si>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</si>
  <si>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</si>
  <si>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</si>
  <si>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</si>
  <si>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</si>
  <si>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</si>
  <si>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</si>
  <si>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</si>
  <si>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</si>
  <si>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</si>
  <si>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</si>
  <si>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</si>
  <si>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</si>
  <si>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</si>
  <si>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</si>
  <si>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</si>
  <si>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</si>
  <si>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</si>
  <si>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</si>
  <si>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</si>
  <si>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</si>
  <si>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</si>
  <si>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</si>
  <si>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</si>
  <si>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</si>
  <si>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</si>
  <si>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</si>
  <si>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</si>
  <si>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</si>
  <si>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</si>
  <si>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</si>
  <si>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</si>
  <si>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</si>
  <si>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</si>
  <si>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</si>
  <si>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</si>
  <si>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</si>
  <si>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</si>
  <si>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</si>
  <si>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</si>
  <si>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</si>
  <si>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</si>
  <si>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</si>
  <si>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</si>
  <si>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</si>
  <si>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</si>
  <si>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</si>
  <si>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</si>
  <si>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</si>
  <si>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</si>
  <si>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</si>
  <si>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</si>
  <si>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</si>
  <si>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</si>
  <si>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</si>
  <si>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</si>
  <si>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</si>
  <si>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</si>
  <si>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</si>
  <si>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</si>
  <si>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</si>
  <si>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</si>
  <si>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</si>
  <si>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</si>
  <si>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</si>
  <si>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</si>
  <si>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</si>
  <si>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</si>
  <si>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</si>
  <si>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</si>
  <si>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</si>
  <si>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</si>
  <si>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</si>
  <si>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</si>
  <si>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</si>
  <si>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</si>
  <si>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</si>
  <si>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</si>
  <si>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</si>
  <si>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</si>
  <si>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</si>
  <si>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</si>
  <si>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</si>
  <si>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</si>
  <si>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</si>
  <si>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</si>
  <si>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</si>
  <si>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</si>
  <si>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</si>
  <si>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</si>
  <si>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</si>
  <si>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</si>
  <si>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</si>
  <si>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</si>
  <si>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</si>
  <si>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</si>
  <si>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</si>
  <si>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</si>
  <si>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</si>
  <si>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</si>
  <si>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</si>
  <si>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</si>
  <si>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</si>
  <si>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</si>
  <si>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</si>
  <si>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</si>
  <si>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</si>
  <si>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</si>
  <si>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</si>
  <si>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</si>
  <si>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</si>
  <si>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</si>
  <si>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</si>
  <si>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</si>
  <si>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</si>
  <si>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</si>
  <si>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</si>
  <si>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</si>
  <si>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</si>
  <si>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</si>
  <si>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</si>
  <si>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</si>
  <si>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</si>
  <si>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</si>
  <si>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</si>
  <si>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</si>
  <si>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</si>
  <si>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</si>
  <si>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</si>
  <si>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</si>
  <si>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</si>
  <si>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</si>
  <si>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</si>
  <si>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</si>
  <si>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</si>
  <si>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</si>
  <si>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</si>
  <si>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</si>
  <si>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</si>
  <si>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</si>
  <si>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</si>
  <si>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</si>
  <si>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</si>
  <si>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</si>
  <si>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</si>
  <si>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</si>
  <si>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</si>
  <si>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</si>
  <si>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</si>
  <si>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</si>
  <si>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</si>
  <si>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</si>
  <si>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</si>
  <si>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</si>
  <si>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</si>
  <si>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</si>
  <si>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</si>
  <si>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</si>
  <si>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</si>
  <si>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</si>
  <si>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</si>
  <si>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</si>
  <si>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</si>
  <si>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</si>
  <si>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</si>
  <si>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</si>
  <si>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</si>
  <si>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</si>
  <si>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</si>
  <si>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</si>
  <si>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</si>
  <si>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</si>
  <si>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</si>
  <si>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</si>
  <si>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</si>
  <si>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</si>
  <si>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</si>
  <si>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</si>
  <si>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</si>
  <si>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</si>
  <si>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</si>
  <si>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</si>
  <si>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</si>
  <si>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</si>
  <si>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</si>
  <si>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</si>
  <si>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</si>
  <si>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</si>
  <si>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</si>
  <si>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</si>
  <si>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</si>
  <si>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</si>
  <si>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</si>
  <si>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</si>
  <si>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</si>
  <si>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</si>
  <si>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</si>
  <si>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</si>
  <si>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</si>
  <si>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</si>
  <si>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</si>
  <si>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</si>
  <si>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</si>
  <si>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</si>
  <si>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</si>
  <si>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</si>
  <si>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</si>
  <si>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</si>
  <si>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</si>
  <si>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</si>
  <si>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</si>
  <si>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</si>
  <si>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</si>
  <si>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</si>
  <si>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</si>
  <si>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</si>
  <si>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</si>
  <si>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</si>
  <si>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</si>
  <si>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</si>
  <si>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</si>
  <si>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</si>
  <si>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</si>
  <si>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</si>
  <si>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</si>
  <si>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</si>
  <si>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</si>
  <si>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</si>
  <si>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</si>
  <si>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</si>
  <si>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</si>
  <si>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</si>
  <si>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</si>
  <si>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</si>
  <si>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</si>
  <si>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</si>
  <si>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</si>
  <si>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</si>
  <si>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</si>
  <si>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</si>
  <si>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</si>
  <si>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</si>
  <si>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</si>
  <si>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</si>
  <si>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</si>
  <si>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</si>
  <si>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</si>
  <si>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</si>
  <si>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</si>
  <si>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</si>
  <si>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</si>
  <si>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</si>
  <si>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</si>
  <si>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</si>
  <si>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</si>
  <si>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</si>
  <si>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</si>
  <si>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</si>
  <si>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</si>
  <si>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</si>
  <si>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</si>
  <si>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</si>
  <si>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</si>
  <si>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</si>
  <si>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</si>
  <si>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</si>
  <si>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</si>
  <si>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</si>
  <si>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</si>
  <si>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</si>
  <si>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</si>
  <si>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</si>
  <si>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</si>
  <si>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</si>
  <si>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</si>
  <si>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</si>
  <si>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</si>
  <si>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</si>
  <si>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</si>
  <si>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</si>
  <si>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</si>
  <si>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</si>
  <si>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</si>
  <si>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</si>
  <si>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</si>
  <si>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</si>
  <si>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</si>
  <si>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</si>
  <si>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</si>
  <si>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</si>
  <si>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</si>
  <si>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</si>
  <si>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</si>
  <si>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</si>
  <si>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</si>
  <si>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</si>
  <si>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</si>
  <si>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</si>
  <si>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</si>
  <si>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</si>
  <si>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</si>
  <si>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</si>
  <si>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</si>
  <si>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</si>
  <si>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</si>
  <si>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</si>
  <si>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</si>
  <si>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</si>
  <si>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</si>
  <si>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</si>
  <si>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</si>
  <si>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</si>
  <si>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</si>
  <si>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</si>
  <si>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</si>
  <si>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</si>
  <si>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</si>
  <si>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</si>
  <si>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</si>
  <si>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</si>
  <si>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</si>
  <si>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</si>
  <si>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</si>
  <si>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</si>
  <si>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</si>
  <si>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</si>
  <si>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</si>
  <si>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</si>
  <si>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</si>
  <si>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</si>
  <si>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</si>
  <si>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</si>
  <si>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</si>
  <si>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</si>
  <si>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</si>
  <si>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</si>
  <si>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</si>
  <si>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</si>
  <si>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</si>
  <si>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</si>
  <si>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</si>
  <si>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</si>
  <si>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</si>
  <si>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</si>
  <si>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</si>
  <si>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</si>
  <si>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</si>
  <si>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</si>
  <si>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</si>
  <si>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</si>
  <si>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</si>
  <si>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</si>
  <si>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</si>
  <si>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</si>
  <si>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</si>
  <si>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</si>
  <si>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</si>
  <si>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</si>
  <si>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</si>
  <si>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</si>
  <si>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</si>
  <si>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</si>
  <si>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</si>
  <si>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</si>
  <si>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</si>
  <si>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</si>
  <si>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</si>
  <si>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</si>
  <si>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</si>
  <si>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</si>
  <si>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</si>
  <si>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</si>
  <si>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</si>
  <si>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</si>
  <si>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</si>
  <si>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</si>
  <si>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</si>
  <si>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</si>
  <si>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</si>
  <si>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</si>
  <si>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</si>
  <si>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</si>
  <si>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</si>
  <si>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</si>
  <si>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</si>
  <si>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</si>
  <si>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</si>
  <si>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</si>
  <si>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</si>
  <si>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</si>
  <si>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</si>
  <si>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</si>
  <si>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</si>
  <si>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</si>
  <si>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</si>
  <si>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</si>
  <si>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</si>
  <si>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</si>
  <si>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</si>
  <si>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</si>
  <si>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</si>
  <si>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</si>
  <si>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</si>
  <si>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</si>
  <si>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</si>
  <si>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</si>
  <si>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</si>
  <si>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</si>
  <si>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</si>
  <si>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</si>
  <si>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</si>
  <si>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</si>
  <si>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</si>
  <si>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</si>
  <si>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</si>
  <si>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</si>
  <si>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</si>
  <si>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</si>
  <si>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</si>
  <si>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</si>
  <si>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</si>
  <si>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</si>
  <si>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</si>
  <si>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</si>
  <si>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</si>
  <si>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</si>
  <si>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</si>
  <si>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</si>
  <si>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</si>
  <si>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</si>
  <si>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</si>
  <si>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</si>
  <si>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</si>
  <si>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</si>
  <si>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</si>
  <si>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</si>
  <si>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</si>
  <si>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</si>
  <si>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</si>
  <si>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</si>
  <si>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</si>
  <si>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</si>
  <si>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</si>
  <si>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</si>
  <si>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</si>
  <si>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</si>
  <si>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</si>
  <si>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</si>
  <si>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</si>
  <si>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</si>
  <si>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</si>
  <si>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</si>
  <si>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</si>
  <si>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</si>
  <si>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</si>
  <si>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</si>
  <si>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</si>
  <si>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</si>
  <si>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</si>
  <si>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</si>
  <si>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</si>
  <si>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</si>
  <si>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</si>
  <si>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</si>
  <si>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</si>
  <si>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</si>
  <si>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</si>
  <si>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</si>
  <si>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</si>
  <si>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</si>
  <si>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</si>
  <si>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</si>
  <si>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</si>
  <si>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</si>
  <si>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</si>
  <si>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</si>
  <si>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</si>
  <si>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</si>
  <si>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</si>
  <si>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</si>
  <si>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</si>
  <si>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</si>
  <si>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</si>
  <si>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</si>
  <si>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</si>
  <si>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</si>
  <si>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</si>
  <si>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</si>
  <si>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</si>
  <si>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</si>
  <si>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</si>
  <si>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</si>
  <si>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</si>
  <si>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</si>
  <si>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</si>
  <si>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</si>
  <si>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</si>
  <si>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</si>
  <si>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</si>
  <si>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</si>
  <si>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</si>
  <si>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</si>
  <si>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</si>
  <si>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</si>
  <si>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</si>
  <si>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</si>
  <si>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</si>
  <si>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</si>
  <si>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</si>
  <si>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</si>
  <si>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</si>
  <si>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</si>
  <si>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</si>
  <si>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</si>
  <si>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</si>
  <si>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</si>
  <si>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</si>
  <si>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</si>
  <si>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</si>
  <si>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</si>
  <si>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</si>
  <si>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</si>
  <si>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</si>
  <si>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</si>
  <si>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</si>
  <si>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</si>
  <si>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</si>
  <si>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</si>
  <si>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</si>
  <si>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</si>
  <si>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</si>
  <si>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</si>
  <si>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</si>
  <si>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</si>
  <si>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</si>
  <si>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</si>
  <si>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</si>
  <si>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</si>
  <si>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</si>
  <si>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</si>
  <si>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</si>
  <si>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</si>
  <si>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</si>
  <si>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</si>
  <si>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</si>
  <si>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</si>
  <si>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</si>
  <si>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</si>
  <si>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</si>
  <si>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</si>
  <si>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</si>
  <si>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</si>
  <si>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</si>
  <si>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</si>
  <si>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</si>
  <si>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</si>
  <si>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</si>
  <si>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</si>
  <si>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</si>
  <si>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</si>
  <si>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</si>
  <si>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</si>
  <si>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</si>
  <si>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</si>
  <si>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</si>
  <si>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</si>
  <si>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</si>
  <si>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</si>
  <si>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</si>
  <si>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</si>
  <si>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</si>
  <si>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</si>
  <si>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</si>
  <si>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</si>
  <si>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</si>
  <si>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</si>
  <si>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</si>
  <si>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</si>
  <si>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</si>
  <si>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</si>
  <si>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</si>
  <si>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</si>
  <si>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</si>
  <si>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</si>
  <si>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</si>
  <si>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</si>
  <si>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</si>
  <si>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</si>
  <si>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</si>
  <si>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</si>
  <si>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</si>
  <si>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</si>
  <si>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</si>
  <si>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</si>
  <si>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</si>
  <si>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</si>
  <si>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</si>
  <si>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</si>
  <si>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</si>
  <si>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</si>
  <si>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</si>
  <si>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</si>
  <si>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</si>
  <si>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</si>
  <si>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</si>
  <si>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</si>
  <si>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</si>
  <si>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</si>
  <si>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</si>
  <si>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</si>
  <si>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</si>
  <si>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</si>
  <si>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</si>
  <si>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</si>
  <si>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</si>
  <si>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</si>
  <si>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</si>
  <si>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</si>
  <si>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</si>
  <si>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</si>
  <si>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</si>
  <si>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</si>
  <si>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</si>
  <si>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</si>
  <si>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</si>
  <si>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</si>
  <si>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</si>
  <si>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</si>
  <si>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</si>
  <si>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</si>
  <si>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</si>
  <si>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</si>
  <si>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</si>
  <si>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</si>
  <si>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</si>
  <si>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</si>
  <si>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</si>
  <si>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</si>
  <si>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</si>
  <si>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</si>
  <si>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</si>
  <si>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</si>
  <si>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</si>
  <si>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</si>
  <si>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</si>
  <si>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</si>
  <si>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</si>
  <si>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</si>
  <si>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</si>
  <si>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</si>
  <si>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</si>
  <si>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</si>
  <si>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</si>
  <si>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</si>
  <si>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</si>
  <si>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</si>
  <si>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</si>
  <si>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</si>
  <si>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</si>
  <si>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</si>
  <si>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</si>
  <si>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</si>
  <si>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</si>
  <si>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</si>
  <si>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</si>
  <si>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</si>
  <si>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</si>
  <si>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</si>
  <si>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</si>
  <si>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</si>
  <si>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</si>
  <si>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</si>
  <si>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</si>
  <si>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</si>
  <si>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</si>
  <si>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</si>
  <si>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</si>
  <si>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</si>
  <si>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</si>
  <si>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</si>
  <si>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</si>
  <si>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</si>
  <si>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</si>
  <si>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</si>
  <si>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</si>
  <si>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</si>
  <si>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</si>
  <si>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</si>
  <si>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</si>
  <si>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</si>
  <si>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</si>
  <si>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</si>
  <si>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</si>
  <si>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</si>
  <si>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</si>
  <si>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</si>
  <si>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</si>
  <si>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</si>
  <si>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</si>
  <si>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</si>
  <si>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</si>
  <si>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</si>
  <si>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</si>
  <si>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</si>
  <si>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</si>
  <si>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</si>
  <si>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</si>
  <si>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</si>
  <si>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</si>
  <si>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</si>
  <si>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</si>
  <si>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</si>
  <si>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</si>
  <si>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</si>
  <si>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</si>
  <si>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</si>
  <si>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</si>
  <si>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</si>
  <si>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</si>
  <si>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</si>
  <si>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</si>
  <si>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</si>
  <si>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</si>
  <si>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</si>
  <si>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</si>
  <si>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</si>
  <si>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</si>
  <si>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</si>
  <si>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</si>
  <si>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</si>
  <si>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</si>
  <si>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</si>
  <si>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</si>
  <si>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</si>
  <si>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</si>
  <si>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</si>
  <si>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</si>
  <si>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</si>
  <si>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</si>
  <si>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</si>
  <si>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</si>
  <si>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</si>
  <si>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</si>
  <si>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</si>
  <si>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</si>
  <si>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</si>
  <si>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</si>
  <si>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</si>
  <si>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</si>
  <si>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</si>
  <si>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</si>
  <si>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</si>
  <si>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</si>
  <si>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</si>
  <si>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</si>
  <si>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</si>
  <si>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</si>
  <si>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</si>
  <si>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</si>
  <si>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</si>
  <si>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</si>
  <si>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</si>
  <si>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</si>
  <si>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</si>
  <si>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</si>
  <si>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</si>
  <si>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</si>
  <si>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</si>
  <si>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</si>
  <si>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</si>
  <si>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</si>
  <si>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</si>
  <si>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</si>
  <si>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</si>
  <si>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</si>
  <si>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</si>
  <si>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</si>
  <si>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</si>
  <si>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</si>
  <si>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</si>
  <si>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</si>
  <si>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</si>
  <si>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</si>
  <si>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</si>
  <si>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</si>
  <si>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</si>
  <si>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</si>
  <si>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</si>
  <si>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</si>
  <si>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</si>
  <si>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</si>
  <si>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</si>
  <si>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</si>
  <si>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</si>
  <si>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</si>
  <si>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</si>
  <si>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</si>
  <si>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</si>
  <si>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</si>
  <si>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</si>
  <si>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</si>
  <si>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</si>
  <si>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</si>
  <si>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</si>
  <si>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</si>
  <si>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</si>
  <si>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</si>
  <si>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</si>
  <si>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</si>
  <si>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</si>
  <si>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</si>
  <si>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</si>
  <si>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</si>
  <si>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</si>
  <si>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</si>
  <si>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</si>
  <si>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</si>
  <si>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</si>
  <si>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</si>
  <si>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</si>
  <si>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</si>
  <si>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</si>
  <si>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</si>
  <si>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</si>
  <si>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</si>
  <si>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</si>
  <si>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</si>
  <si>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</si>
  <si>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</si>
  <si>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</si>
  <si>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</si>
  <si>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</si>
  <si>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</si>
  <si>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</si>
  <si>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</si>
  <si>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</si>
  <si>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</si>
  <si>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</si>
  <si>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</si>
  <si>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</si>
  <si>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</si>
  <si>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</si>
  <si>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</si>
  <si>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</si>
  <si>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</si>
  <si>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</si>
  <si>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</si>
  <si>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</si>
  <si>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</si>
  <si>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</si>
  <si>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</si>
  <si>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</si>
  <si>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</si>
  <si>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</si>
  <si>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</si>
  <si>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</si>
  <si>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</si>
  <si>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</si>
  <si>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</si>
  <si>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</si>
  <si>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</si>
  <si>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</si>
  <si>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</si>
  <si>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</si>
  <si>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</si>
  <si>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</si>
  <si>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</si>
  <si>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</si>
  <si>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</si>
  <si>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</si>
  <si>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</si>
  <si>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</si>
  <si>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</si>
  <si>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</si>
  <si>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</si>
  <si>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</si>
  <si>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</si>
  <si>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</si>
  <si>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</si>
  <si>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</si>
  <si>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</si>
  <si>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</si>
  <si>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</si>
  <si>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</si>
  <si>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</si>
  <si>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</si>
  <si>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</si>
  <si>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</si>
  <si>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</si>
  <si>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</si>
  <si>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</si>
  <si>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</si>
  <si>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</si>
  <si>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</si>
  <si>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</si>
  <si>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</si>
  <si>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</si>
  <si>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</si>
  <si>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</si>
  <si>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</si>
  <si>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</si>
  <si>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</si>
  <si>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</si>
  <si>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</si>
  <si>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</si>
  <si>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</si>
  <si>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</si>
  <si>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</si>
  <si>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</si>
  <si>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</si>
  <si>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</si>
  <si>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</si>
  <si>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</si>
  <si>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</si>
  <si>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</si>
  <si>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</si>
  <si>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</si>
  <si>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</si>
  <si>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</si>
  <si>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</si>
  <si>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</si>
  <si>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</si>
  <si>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</si>
  <si>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</si>
  <si>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</si>
  <si>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</si>
  <si>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</si>
  <si>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</si>
  <si>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</si>
  <si>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</si>
  <si>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</si>
  <si>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</si>
  <si>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</si>
  <si>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</si>
  <si>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</si>
  <si>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</si>
  <si>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</si>
  <si>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</si>
  <si>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</si>
  <si>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</si>
  <si>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</si>
  <si>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</si>
  <si>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</si>
  <si>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</si>
  <si>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</si>
  <si>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</si>
  <si>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</si>
  <si>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</si>
  <si>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</si>
  <si>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</si>
  <si>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</si>
  <si>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</si>
  <si>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</si>
  <si>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</si>
  <si>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</si>
  <si>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</si>
  <si>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</si>
  <si>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</si>
  <si>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</si>
  <si>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</si>
  <si>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</si>
  <si>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</si>
  <si>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</si>
  <si>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</si>
  <si>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</si>
  <si>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</si>
  <si>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</si>
  <si>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</si>
  <si>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</si>
  <si>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</si>
  <si>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</si>
  <si>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</si>
  <si>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</si>
  <si>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</si>
  <si>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</si>
  <si>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</si>
  <si>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</si>
  <si>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</si>
  <si>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</si>
  <si>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</si>
  <si>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</si>
  <si>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</si>
  <si>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</si>
  <si>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</si>
  <si>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</si>
  <si>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</si>
  <si>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</si>
  <si>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</si>
  <si>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</si>
  <si>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</si>
  <si>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</si>
  <si>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</si>
  <si>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</si>
  <si>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</si>
  <si>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</si>
  <si>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</si>
  <si>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</si>
  <si>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</si>
  <si>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</si>
  <si>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</si>
  <si>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</si>
  <si>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</si>
  <si>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</si>
  <si>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</si>
  <si>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</si>
  <si>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</si>
  <si>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</si>
  <si>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</si>
  <si>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</si>
  <si>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</si>
  <si>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</si>
  <si>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</si>
  <si>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</si>
  <si>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</si>
  <si>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</si>
  <si>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</si>
  <si>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</si>
  <si>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</si>
  <si>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</si>
  <si>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</si>
  <si>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</si>
  <si>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</si>
  <si>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</si>
  <si>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</si>
  <si>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</si>
  <si>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</si>
  <si>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</si>
  <si>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</si>
  <si>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</si>
  <si>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</si>
  <si>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</si>
  <si>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</si>
  <si>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</si>
  <si>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</si>
  <si>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</si>
  <si>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</si>
  <si>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</si>
  <si>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</si>
  <si>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</si>
  <si>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</si>
  <si>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</si>
  <si>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</si>
  <si>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</si>
  <si>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</si>
  <si>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</si>
  <si>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</si>
  <si>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</si>
  <si>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</si>
  <si>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</si>
  <si>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</si>
  <si>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</si>
  <si>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</si>
  <si>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</si>
  <si>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</si>
  <si>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</si>
  <si>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</si>
  <si>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</si>
  <si>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</si>
  <si>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</si>
  <si>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</si>
  <si>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</si>
  <si>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</si>
  <si>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</si>
  <si>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</si>
  <si>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</si>
  <si>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</si>
  <si>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</si>
  <si>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</si>
  <si>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</si>
  <si>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</si>
  <si>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</si>
  <si>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</si>
  <si>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</si>
  <si>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</si>
  <si>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</si>
  <si>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</si>
  <si>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</si>
  <si>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</si>
  <si>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</si>
  <si>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</si>
  <si>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</si>
  <si>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</si>
  <si>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</si>
  <si>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</si>
  <si>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</si>
  <si>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</si>
  <si>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</si>
  <si>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</si>
  <si>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</si>
  <si>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</si>
  <si>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</si>
  <si>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</si>
  <si>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</si>
  <si>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</si>
  <si>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</si>
  <si>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</si>
  <si>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</si>
  <si>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</si>
  <si>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</si>
  <si>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</si>
  <si>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</si>
  <si>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</si>
  <si>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</si>
  <si>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</si>
  <si>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</si>
  <si>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</si>
  <si>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</si>
  <si>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</si>
  <si>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</si>
  <si>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</si>
  <si>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</si>
  <si>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</si>
  <si>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</si>
  <si>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</si>
  <si>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</si>
  <si>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</si>
  <si>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</si>
  <si>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</si>
  <si>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</si>
  <si>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</si>
  <si>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</si>
  <si>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</si>
  <si>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</si>
  <si>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</si>
  <si>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</si>
  <si>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</si>
  <si>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</si>
  <si>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</si>
  <si>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</si>
  <si>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</si>
  <si>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</si>
  <si>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</si>
  <si>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</si>
  <si>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</si>
  <si>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</si>
  <si>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</si>
  <si>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</si>
  <si>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</si>
  <si>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</si>
  <si>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</si>
  <si>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</si>
  <si>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</si>
  <si>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</si>
  <si>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</si>
  <si>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</si>
  <si>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</si>
  <si>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</si>
  <si>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</si>
  <si>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</si>
  <si>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</si>
  <si>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</si>
  <si>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</si>
  <si>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</si>
  <si>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</si>
  <si>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</si>
  <si>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</si>
  <si>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</si>
  <si>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</si>
  <si>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</si>
  <si>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</si>
  <si>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</si>
  <si>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</si>
  <si>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</si>
  <si>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</si>
  <si>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</si>
  <si>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</si>
  <si>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</si>
  <si>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</si>
  <si>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</si>
  <si>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</si>
  <si>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</si>
  <si>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</si>
  <si>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</si>
  <si>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</si>
  <si>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</si>
  <si>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</si>
  <si>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</si>
  <si>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</si>
  <si>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</si>
  <si>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</si>
  <si>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</si>
  <si>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</si>
  <si>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</si>
  <si>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</si>
  <si>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</si>
  <si>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</si>
  <si>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</si>
  <si>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</si>
  <si>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</si>
  <si>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</si>
  <si>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</si>
  <si>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</si>
  <si>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</si>
  <si>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</si>
  <si>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</si>
  <si>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</si>
  <si>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</si>
  <si>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</si>
  <si>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</si>
  <si>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</si>
  <si>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</si>
  <si>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</si>
  <si>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</si>
  <si>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</si>
  <si>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</si>
  <si>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</si>
  <si>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</si>
  <si>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</si>
  <si>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</si>
  <si>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</si>
  <si>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</si>
  <si>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</si>
  <si>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</si>
  <si>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</si>
  <si>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</si>
  <si>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</si>
  <si>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</si>
  <si>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</si>
  <si>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</si>
  <si>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</si>
  <si>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</si>
  <si>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</si>
  <si>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</si>
  <si>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</si>
  <si>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</si>
  <si>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</si>
  <si>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</si>
  <si>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</si>
  <si>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</si>
  <si>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</si>
  <si>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</si>
  <si>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</si>
  <si>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</si>
  <si>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</si>
  <si>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</si>
  <si>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</si>
  <si>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</si>
  <si>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</si>
  <si>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</si>
  <si>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</si>
  <si>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</si>
  <si>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</si>
  <si>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</si>
  <si>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</si>
  <si>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</si>
  <si>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</si>
  <si>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</si>
  <si>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</si>
  <si>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</si>
  <si>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</si>
  <si>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</si>
  <si>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</si>
  <si>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</si>
  <si>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</si>
  <si>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</si>
  <si>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</si>
  <si>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</si>
  <si>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</si>
  <si>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</si>
  <si>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</si>
  <si>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</si>
  <si>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</si>
  <si>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</si>
  <si>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</si>
  <si>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</si>
  <si>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</si>
  <si>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</si>
  <si>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</si>
  <si>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</si>
  <si>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</si>
  <si>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</si>
  <si>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</si>
  <si>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</si>
  <si>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</si>
  <si>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</si>
  <si>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</si>
  <si>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</si>
  <si>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</si>
  <si>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</si>
  <si>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</si>
  <si>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</si>
  <si>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</si>
  <si>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</si>
  <si>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</si>
  <si>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</si>
  <si>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</si>
  <si>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</si>
  <si>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</si>
  <si>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</si>
  <si>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</si>
  <si>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</si>
  <si>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</si>
  <si>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</si>
  <si>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</si>
  <si>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</si>
  <si>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</si>
  <si>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</si>
  <si>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</si>
  <si>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</si>
  <si>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</si>
  <si>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</si>
  <si>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</si>
  <si>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</si>
  <si>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</si>
  <si>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</si>
  <si>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</si>
  <si>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</si>
  <si>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</si>
  <si>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</si>
  <si>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</si>
  <si>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</si>
  <si>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</si>
  <si>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</si>
  <si>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</si>
  <si>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</si>
  <si>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</si>
  <si>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</si>
  <si>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</si>
  <si>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</si>
  <si>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</si>
  <si>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</si>
  <si>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</si>
  <si>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</si>
  <si>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</si>
  <si>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</si>
  <si>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</si>
  <si>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</si>
  <si>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</si>
  <si>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</si>
  <si>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</si>
  <si>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</si>
  <si>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</si>
  <si>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</si>
  <si>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</si>
  <si>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</si>
  <si>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</si>
  <si>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</si>
  <si>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</si>
  <si>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</si>
  <si>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</si>
  <si>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</si>
  <si>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</si>
  <si>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</si>
  <si>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</si>
  <si>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</si>
  <si>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</si>
  <si>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</si>
  <si>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</si>
  <si>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</si>
  <si>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</si>
  <si>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</si>
  <si>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</si>
  <si>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</si>
  <si>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</si>
  <si>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</si>
  <si>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</si>
  <si>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</si>
  <si>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</si>
  <si>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</si>
  <si>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</si>
  <si>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</si>
  <si>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</si>
  <si>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</si>
  <si>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</si>
  <si>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</si>
  <si>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</si>
  <si>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</si>
  <si>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</si>
  <si>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</si>
  <si>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</si>
  <si>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</si>
  <si>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</si>
  <si>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</si>
  <si>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</si>
  <si>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</si>
  <si>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</si>
  <si>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</si>
  <si>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</si>
  <si>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</si>
  <si>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</si>
  <si>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</si>
  <si>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</si>
  <si>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</si>
  <si>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</si>
  <si>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</si>
  <si>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</si>
  <si>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</si>
  <si>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</si>
  <si>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</si>
  <si>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</si>
  <si>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</si>
  <si>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</si>
  <si>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</si>
  <si>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</si>
  <si>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</si>
  <si>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</si>
  <si>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</si>
  <si>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</si>
  <si>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</si>
  <si>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</si>
  <si>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</si>
  <si>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</si>
  <si>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</si>
  <si>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</si>
  <si>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</si>
  <si>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</si>
  <si>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</si>
  <si>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</si>
  <si>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</si>
  <si>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</si>
  <si>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</si>
  <si>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</si>
  <si>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</si>
  <si>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</si>
  <si>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</si>
  <si>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</si>
  <si>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</si>
  <si>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</si>
  <si>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</si>
  <si>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</si>
  <si>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 xml:space="preserve">Formulaire modèle GIS Macrophytes v 3.3 - novembre 2013  </t>
  </si>
  <si>
    <t>version 3.3</t>
  </si>
  <si>
    <t>version février 2014</t>
  </si>
  <si>
    <t>Aquascop</t>
  </si>
  <si>
    <t>RCS PACA 2014</t>
  </si>
  <si>
    <t>Aurélia Marquis Samuel Charpenteau</t>
  </si>
  <si>
    <t>Caderousse</t>
  </si>
  <si>
    <t>06117500</t>
  </si>
  <si>
    <t>NEWCOD</t>
  </si>
  <si>
    <t>Xanthium orientale italicum</t>
  </si>
  <si>
    <t>ATTENTION : écart entre rec. par grp (0 %) et</t>
  </si>
  <si>
    <t xml:space="preserve"> rec. par taxa (71,235 %) supérieur à 20 % !</t>
  </si>
  <si>
    <t>fort</t>
  </si>
  <si>
    <t>Robustesse:</t>
  </si>
  <si>
    <t>(très élevé)</t>
  </si>
  <si>
    <t>Eygues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</si>
</sst>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7" borderId="79" xfId="0" applyNumberFormat="1" applyFont="1" applyFill="1" applyBorder="1" applyAlignment="1" applyProtection="1">
      <alignment horizontal="right" vertical="top"/>
      <protection hidden="1"/>
    </xf>
    <xf numFmtId="2" fontId="17" fillId="37" borderId="80" xfId="0" applyNumberFormat="1" applyFont="1" applyFill="1" applyBorder="1" applyAlignment="1" applyProtection="1">
      <alignment horizontal="left" vertical="top"/>
      <protection hidden="1"/>
    </xf>
    <xf numFmtId="0" fontId="1" fillId="37" borderId="81" xfId="0" applyFont="1" applyFill="1" applyBorder="1" applyAlignment="1" applyProtection="1">
      <alignment horizontal="right" vertical="top"/>
      <protection hidden="1"/>
    </xf>
    <xf numFmtId="0" fontId="85" fillId="37"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19" xfId="0" applyNumberFormat="1"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31.emf" /><Relationship Id="rId3" Type="http://schemas.openxmlformats.org/officeDocument/2006/relationships/image" Target="../media/image33.emf" /><Relationship Id="rId4" Type="http://schemas.openxmlformats.org/officeDocument/2006/relationships/image" Target="../media/image43.emf" /><Relationship Id="rId5" Type="http://schemas.openxmlformats.org/officeDocument/2006/relationships/image" Target="../media/image17.emf" /><Relationship Id="rId6" Type="http://schemas.openxmlformats.org/officeDocument/2006/relationships/image" Target="../media/image21.emf" /><Relationship Id="rId7" Type="http://schemas.openxmlformats.org/officeDocument/2006/relationships/image" Target="../media/image30.emf" /><Relationship Id="rId8" Type="http://schemas.openxmlformats.org/officeDocument/2006/relationships/image" Target="../media/image24.emf" /><Relationship Id="rId9"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6.emf" /><Relationship Id="rId3"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3.emf" /><Relationship Id="rId3" Type="http://schemas.openxmlformats.org/officeDocument/2006/relationships/image" Target="../media/image5.emf" /><Relationship Id="rId4"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3.emf" /><Relationship Id="rId3" Type="http://schemas.openxmlformats.org/officeDocument/2006/relationships/image" Target="../media/image36.emf" /><Relationship Id="rId4" Type="http://schemas.openxmlformats.org/officeDocument/2006/relationships/image" Target="../media/image39.emf" /><Relationship Id="rId5" Type="http://schemas.openxmlformats.org/officeDocument/2006/relationships/image" Target="../media/image34.emf" /><Relationship Id="rId6" Type="http://schemas.openxmlformats.org/officeDocument/2006/relationships/image" Target="../media/image29.emf" /><Relationship Id="rId7" Type="http://schemas.openxmlformats.org/officeDocument/2006/relationships/image" Target="../media/image8.emf" /><Relationship Id="rId8" Type="http://schemas.openxmlformats.org/officeDocument/2006/relationships/image" Target="../media/image6.emf" /><Relationship Id="rId9" Type="http://schemas.openxmlformats.org/officeDocument/2006/relationships/image" Target="../media/image35.emf" /><Relationship Id="rId10" Type="http://schemas.openxmlformats.org/officeDocument/2006/relationships/image" Target="../media/image41.emf" /><Relationship Id="rId11" Type="http://schemas.openxmlformats.org/officeDocument/2006/relationships/image" Target="../media/image37.emf" /><Relationship Id="rId12" Type="http://schemas.openxmlformats.org/officeDocument/2006/relationships/image" Target="../media/image40.emf" /><Relationship Id="rId13" Type="http://schemas.openxmlformats.org/officeDocument/2006/relationships/image" Target="../media/image42.emf" /><Relationship Id="rId14" Type="http://schemas.openxmlformats.org/officeDocument/2006/relationships/image" Target="../media/image38.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9.emf" /><Relationship Id="rId3" Type="http://schemas.openxmlformats.org/officeDocument/2006/relationships/image" Target="../media/image1.emf" /><Relationship Id="rId4" Type="http://schemas.openxmlformats.org/officeDocument/2006/relationships/image" Target="../media/image20.emf" /><Relationship Id="rId5" Type="http://schemas.openxmlformats.org/officeDocument/2006/relationships/image" Target="../media/image46.emf" /><Relationship Id="rId6" Type="http://schemas.openxmlformats.org/officeDocument/2006/relationships/image" Target="../media/image26.emf" /><Relationship Id="rId7" Type="http://schemas.openxmlformats.org/officeDocument/2006/relationships/image" Target="../media/image28.emf" /><Relationship Id="rId8" Type="http://schemas.openxmlformats.org/officeDocument/2006/relationships/image" Target="../media/image27.emf" /><Relationship Id="rId9" Type="http://schemas.openxmlformats.org/officeDocument/2006/relationships/image" Target="../media/image32.emf" /><Relationship Id="rId10" Type="http://schemas.openxmlformats.org/officeDocument/2006/relationships/image" Target="../media/image15.emf" /><Relationship Id="rId11" Type="http://schemas.openxmlformats.org/officeDocument/2006/relationships/image" Target="../media/image7.emf" /><Relationship Id="rId12" Type="http://schemas.openxmlformats.org/officeDocument/2006/relationships/image" Target="../media/image19.emf" /><Relationship Id="rId13" Type="http://schemas.openxmlformats.org/officeDocument/2006/relationships/image" Target="../media/image45.emf" /><Relationship Id="rId14" Type="http://schemas.openxmlformats.org/officeDocument/2006/relationships/image" Target="../media/image4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Ei.Ki (coefficient de sténoécie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171450</xdr:rowOff>
    </xdr:to>
    <xdr:sp>
      <xdr:nvSpPr>
        <xdr:cNvPr id="2" name="Text Box 20"/>
        <xdr:cNvSpPr txBox="1">
          <a:spLocks noChangeArrowheads="1"/>
        </xdr:cNvSpPr>
      </xdr:nvSpPr>
      <xdr:spPr>
        <a:xfrm>
          <a:off x="190500" y="21316950"/>
          <a:ext cx="6696075" cy="361950"/>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 Box 5"/>
        <xdr:cNvSpPr txBox="1">
          <a:spLocks noChangeArrowheads="1"/>
        </xdr:cNvSpPr>
      </xdr:nvSpPr>
      <xdr:spPr>
        <a:xfrm>
          <a:off x="4600575" y="628650"/>
          <a:ext cx="4733925" cy="1390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O6" sqref="O6"/>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2716</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2600</v>
      </c>
      <c r="C3" s="47"/>
      <c r="D3" s="48">
        <v>2</v>
      </c>
      <c r="E3" s="49"/>
      <c r="F3" s="49"/>
      <c r="M3" s="105"/>
      <c r="N3" s="105"/>
      <c r="O3" s="105"/>
      <c r="P3" s="105"/>
      <c r="Q3" s="482"/>
    </row>
    <row r="4" spans="1:17" ht="19.5" customHeight="1" thickBot="1">
      <c r="A4" s="301"/>
      <c r="B4" s="302" t="s">
        <v>2569</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2598</v>
      </c>
      <c r="R5" s="541"/>
      <c r="S5" s="561" t="s">
        <v>2599</v>
      </c>
    </row>
    <row r="6" spans="1:19" ht="15">
      <c r="A6" s="521"/>
      <c r="B6" s="522" t="s">
        <v>2585</v>
      </c>
      <c r="C6" s="568"/>
      <c r="D6" s="569"/>
      <c r="E6" s="520"/>
      <c r="F6" s="513"/>
      <c r="G6" s="513"/>
      <c r="H6" s="513"/>
      <c r="I6" s="513"/>
      <c r="J6" s="513"/>
      <c r="K6" s="513"/>
      <c r="L6" s="513"/>
      <c r="M6" s="544" t="s">
        <v>2582</v>
      </c>
      <c r="N6" s="545">
        <v>1</v>
      </c>
      <c r="O6" s="546"/>
      <c r="P6" s="547" t="s">
        <v>1030</v>
      </c>
      <c r="Q6" s="514"/>
      <c r="R6" s="515">
        <v>1</v>
      </c>
      <c r="S6" s="484"/>
    </row>
    <row r="7" spans="1:19" ht="15">
      <c r="A7" s="523" t="s">
        <v>968</v>
      </c>
      <c r="B7" s="524" t="s">
        <v>2597</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2510</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2586</v>
      </c>
      <c r="C9" s="572"/>
      <c r="D9" s="573"/>
      <c r="E9" s="108"/>
      <c r="F9" s="93"/>
      <c r="G9" s="93"/>
      <c r="H9" s="93"/>
      <c r="I9" s="93"/>
      <c r="J9" s="93"/>
      <c r="K9" s="93"/>
      <c r="L9" s="93"/>
      <c r="M9" s="548" t="s">
        <v>2581</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1908</v>
      </c>
      <c r="G12" s="93" t="s">
        <v>1909</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1915</v>
      </c>
      <c r="H13" s="93" t="s">
        <v>1916</v>
      </c>
      <c r="I13" s="93"/>
      <c r="J13" s="93"/>
      <c r="K13" s="93"/>
      <c r="L13" s="93"/>
      <c r="M13" s="548" t="s">
        <v>1032</v>
      </c>
      <c r="N13" s="549">
        <v>2</v>
      </c>
      <c r="O13" s="548"/>
      <c r="P13" s="550" t="s">
        <v>1030</v>
      </c>
      <c r="Q13" s="483"/>
      <c r="R13" s="516">
        <v>0</v>
      </c>
      <c r="S13" s="172">
        <v>1153</v>
      </c>
    </row>
    <row r="14" spans="1:19" ht="15">
      <c r="A14" s="528" t="s">
        <v>891</v>
      </c>
      <c r="B14" s="525" t="s">
        <v>1917</v>
      </c>
      <c r="C14" s="570">
        <v>16</v>
      </c>
      <c r="D14" s="571">
        <v>2</v>
      </c>
      <c r="E14" s="456" t="s">
        <v>21</v>
      </c>
      <c r="F14" s="93" t="s">
        <v>1918</v>
      </c>
      <c r="G14" s="92" t="s">
        <v>1919</v>
      </c>
      <c r="H14" s="92"/>
      <c r="I14" s="92"/>
      <c r="J14" s="92"/>
      <c r="K14" s="92"/>
      <c r="L14" s="93"/>
      <c r="M14" s="548" t="s">
        <v>1032</v>
      </c>
      <c r="N14" s="549">
        <v>2</v>
      </c>
      <c r="O14" s="548"/>
      <c r="P14" s="550" t="s">
        <v>1030</v>
      </c>
      <c r="Q14" s="483"/>
      <c r="R14" s="516">
        <v>0</v>
      </c>
      <c r="S14" s="172">
        <v>1155</v>
      </c>
    </row>
    <row r="15" spans="1:19" ht="15">
      <c r="A15" s="528" t="s">
        <v>892</v>
      </c>
      <c r="B15" s="525" t="s">
        <v>1927</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1991</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1992</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1993</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1994</v>
      </c>
      <c r="C22" s="570">
        <v>13</v>
      </c>
      <c r="D22" s="571">
        <v>1</v>
      </c>
      <c r="E22" s="456" t="s">
        <v>26</v>
      </c>
      <c r="F22" s="93" t="s">
        <v>1995</v>
      </c>
      <c r="G22" s="92"/>
      <c r="H22" s="512"/>
      <c r="I22" s="92"/>
      <c r="J22" s="517"/>
      <c r="K22" s="92"/>
      <c r="L22" s="93"/>
      <c r="M22" s="548" t="s">
        <v>1032</v>
      </c>
      <c r="N22" s="549">
        <v>2</v>
      </c>
      <c r="O22" s="548"/>
      <c r="P22" s="550" t="s">
        <v>1030</v>
      </c>
      <c r="Q22" s="483"/>
      <c r="R22" s="516">
        <v>0</v>
      </c>
      <c r="S22" s="172">
        <v>5257</v>
      </c>
    </row>
    <row r="23" spans="1:19" ht="15">
      <c r="A23" s="523" t="s">
        <v>904</v>
      </c>
      <c r="B23" s="525" t="s">
        <v>2682</v>
      </c>
      <c r="C23" s="570" t="s">
        <v>1130</v>
      </c>
      <c r="D23" s="571" t="s">
        <v>1130</v>
      </c>
      <c r="E23" s="108" t="s">
        <v>25</v>
      </c>
      <c r="F23" s="93" t="s">
        <v>2000</v>
      </c>
      <c r="G23" s="92"/>
      <c r="H23" s="517"/>
      <c r="I23" s="92"/>
      <c r="J23" s="517"/>
      <c r="K23" s="92"/>
      <c r="L23" s="93"/>
      <c r="M23" s="548" t="s">
        <v>1032</v>
      </c>
      <c r="N23" s="549">
        <v>2</v>
      </c>
      <c r="O23" s="548"/>
      <c r="P23" s="550" t="s">
        <v>1130</v>
      </c>
      <c r="Q23" s="483"/>
      <c r="R23" s="516">
        <v>0</v>
      </c>
      <c r="S23" s="172">
        <v>25559</v>
      </c>
    </row>
    <row r="24" spans="1:19" ht="15">
      <c r="A24" s="528" t="s">
        <v>900</v>
      </c>
      <c r="B24" s="525" t="s">
        <v>1996</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1997</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1998</v>
      </c>
      <c r="C27" s="570">
        <v>13</v>
      </c>
      <c r="D27" s="571">
        <v>1</v>
      </c>
      <c r="E27" s="456" t="s">
        <v>28</v>
      </c>
      <c r="F27" s="175" t="s">
        <v>1999</v>
      </c>
      <c r="G27" s="92"/>
      <c r="H27" s="517"/>
      <c r="I27" s="92"/>
      <c r="J27" s="517"/>
      <c r="K27" s="92"/>
      <c r="L27" s="93"/>
      <c r="M27" s="548" t="s">
        <v>1032</v>
      </c>
      <c r="N27" s="549">
        <v>2</v>
      </c>
      <c r="O27" s="548"/>
      <c r="P27" s="550" t="s">
        <v>1030</v>
      </c>
      <c r="Q27" s="483"/>
      <c r="R27" s="516">
        <v>0</v>
      </c>
      <c r="S27" s="172">
        <v>5261</v>
      </c>
    </row>
    <row r="28" spans="1:19" ht="15">
      <c r="A28" s="523" t="s">
        <v>905</v>
      </c>
      <c r="B28" s="525" t="s">
        <v>2007</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2683</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2013</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2039</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2685</v>
      </c>
      <c r="C35" s="570">
        <v>3</v>
      </c>
      <c r="D35" s="571">
        <v>2</v>
      </c>
      <c r="E35" s="456" t="s">
        <v>1059</v>
      </c>
      <c r="F35" s="175" t="s">
        <v>2072</v>
      </c>
      <c r="G35" s="92" t="s">
        <v>2073</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2130</v>
      </c>
      <c r="C37" s="570">
        <v>15</v>
      </c>
      <c r="D37" s="571">
        <v>2</v>
      </c>
      <c r="E37" s="456" t="s">
        <v>1056</v>
      </c>
      <c r="F37" s="93" t="s">
        <v>2131</v>
      </c>
      <c r="G37" s="92"/>
      <c r="H37" s="517"/>
      <c r="I37" s="92"/>
      <c r="J37" s="517"/>
      <c r="K37" s="92"/>
      <c r="L37" s="93"/>
      <c r="M37" s="548" t="s">
        <v>1032</v>
      </c>
      <c r="N37" s="549">
        <v>2</v>
      </c>
      <c r="O37" s="548"/>
      <c r="P37" s="550" t="s">
        <v>1030</v>
      </c>
      <c r="Q37" s="483"/>
      <c r="R37" s="516">
        <v>0</v>
      </c>
      <c r="S37" s="172">
        <v>1157</v>
      </c>
    </row>
    <row r="38" spans="1:19" ht="15">
      <c r="A38" s="523" t="s">
        <v>915</v>
      </c>
      <c r="B38" s="525" t="s">
        <v>2688</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2135</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2136</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2205</v>
      </c>
      <c r="C41" s="570">
        <v>15</v>
      </c>
      <c r="D41" s="571">
        <v>2</v>
      </c>
      <c r="E41" s="456" t="s">
        <v>1057</v>
      </c>
      <c r="F41" s="93" t="s">
        <v>2206</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2261</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2691</v>
      </c>
      <c r="C46" s="570" t="s">
        <v>1130</v>
      </c>
      <c r="D46" s="571" t="s">
        <v>1130</v>
      </c>
      <c r="E46" s="108" t="s">
        <v>1814</v>
      </c>
      <c r="F46" s="93" t="s">
        <v>2262</v>
      </c>
      <c r="G46" s="92"/>
      <c r="H46" s="517"/>
      <c r="I46" s="92"/>
      <c r="J46" s="517"/>
      <c r="K46" s="92"/>
      <c r="L46" s="93"/>
      <c r="M46" s="548" t="s">
        <v>1032</v>
      </c>
      <c r="N46" s="549">
        <v>2</v>
      </c>
      <c r="O46" s="548"/>
      <c r="P46" s="550"/>
      <c r="Q46" s="483"/>
      <c r="R46" s="516">
        <v>0</v>
      </c>
      <c r="S46" s="172">
        <v>6380</v>
      </c>
    </row>
    <row r="47" spans="1:19" ht="15">
      <c r="A47" s="523" t="s">
        <v>924</v>
      </c>
      <c r="B47" s="525" t="s">
        <v>2692</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2298</v>
      </c>
      <c r="G54" s="92" t="s">
        <v>2299</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2300</v>
      </c>
      <c r="G55" s="93"/>
      <c r="H55" s="100"/>
      <c r="I55" s="93"/>
      <c r="J55" s="100"/>
      <c r="K55" s="93"/>
      <c r="L55" s="93"/>
      <c r="M55" s="548" t="s">
        <v>1032</v>
      </c>
      <c r="N55" s="549">
        <v>2</v>
      </c>
      <c r="O55" s="548"/>
      <c r="P55" s="550" t="s">
        <v>1130</v>
      </c>
      <c r="Q55" s="483"/>
      <c r="R55" s="516">
        <v>0</v>
      </c>
      <c r="S55" s="172">
        <v>5267</v>
      </c>
    </row>
    <row r="56" spans="1:19" ht="15">
      <c r="A56" s="523" t="s">
        <v>933</v>
      </c>
      <c r="B56" s="525" t="s">
        <v>2301</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2302</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2303</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2304</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2319</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2346</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2398</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2403</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2422</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2451</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2491</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2509</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2529</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2532</v>
      </c>
      <c r="G78" s="93" t="s">
        <v>2533</v>
      </c>
      <c r="H78" s="93"/>
      <c r="I78" s="93"/>
      <c r="J78" s="93"/>
      <c r="K78" s="93"/>
      <c r="L78" s="93"/>
      <c r="M78" s="548" t="s">
        <v>1032</v>
      </c>
      <c r="N78" s="549">
        <v>2</v>
      </c>
      <c r="O78" s="548"/>
      <c r="P78" s="550" t="s">
        <v>1030</v>
      </c>
      <c r="Q78" s="483"/>
      <c r="R78" s="516">
        <v>0</v>
      </c>
      <c r="S78" s="172">
        <v>1119</v>
      </c>
    </row>
    <row r="79" spans="1:19" ht="15">
      <c r="A79" s="528" t="s">
        <v>956</v>
      </c>
      <c r="B79" s="525" t="s">
        <v>2534</v>
      </c>
      <c r="C79" s="570">
        <v>1</v>
      </c>
      <c r="D79" s="571">
        <v>3</v>
      </c>
      <c r="E79" s="456" t="s">
        <v>31</v>
      </c>
      <c r="F79" s="93" t="s">
        <v>2535</v>
      </c>
      <c r="G79" s="93"/>
      <c r="H79" s="93"/>
      <c r="I79" s="93"/>
      <c r="J79" s="93"/>
      <c r="K79" s="93"/>
      <c r="L79" s="93"/>
      <c r="M79" s="548" t="s">
        <v>1032</v>
      </c>
      <c r="N79" s="549">
        <v>2</v>
      </c>
      <c r="O79" s="548"/>
      <c r="P79" s="550" t="s">
        <v>1030</v>
      </c>
      <c r="Q79" s="483"/>
      <c r="R79" s="516">
        <v>0</v>
      </c>
      <c r="S79" s="172">
        <v>5583</v>
      </c>
    </row>
    <row r="80" spans="1:19" ht="15">
      <c r="A80" s="528" t="s">
        <v>957</v>
      </c>
      <c r="B80" s="525" t="s">
        <v>2537</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2542</v>
      </c>
      <c r="C81" s="570">
        <v>14</v>
      </c>
      <c r="D81" s="571">
        <v>3</v>
      </c>
      <c r="E81" s="456" t="s">
        <v>1058</v>
      </c>
      <c r="F81" s="93" t="s">
        <v>971</v>
      </c>
      <c r="G81" s="93" t="s">
        <v>2543</v>
      </c>
      <c r="H81" s="417" t="s">
        <v>2544</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2546</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2547</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2548</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2554</v>
      </c>
      <c r="C88" s="570">
        <v>10</v>
      </c>
      <c r="D88" s="571">
        <v>1</v>
      </c>
      <c r="E88" s="456" t="s">
        <v>31</v>
      </c>
      <c r="F88" s="93" t="s">
        <v>2555</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2568</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2587</v>
      </c>
      <c r="C91" s="572"/>
      <c r="D91" s="573"/>
      <c r="E91" s="456"/>
      <c r="F91" s="93"/>
      <c r="G91" s="93"/>
      <c r="H91" s="93"/>
      <c r="I91" s="93"/>
      <c r="J91" s="93"/>
      <c r="K91" s="93"/>
      <c r="L91" s="93"/>
      <c r="M91" s="548" t="s">
        <v>2580</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2588</v>
      </c>
      <c r="C96" s="572"/>
      <c r="D96" s="573"/>
      <c r="E96" s="456"/>
      <c r="F96" s="93"/>
      <c r="G96" s="93"/>
      <c r="H96" s="93"/>
      <c r="I96" s="93"/>
      <c r="J96" s="93"/>
      <c r="K96" s="93"/>
      <c r="L96" s="93"/>
      <c r="M96" s="548" t="s">
        <v>2579</v>
      </c>
      <c r="N96" s="549">
        <v>4</v>
      </c>
      <c r="O96" s="548"/>
      <c r="P96" s="550" t="s">
        <v>1030</v>
      </c>
      <c r="Q96" s="483"/>
      <c r="R96" s="516">
        <v>1</v>
      </c>
      <c r="S96" s="172"/>
    </row>
    <row r="97" spans="1:19" ht="15">
      <c r="A97" s="530"/>
      <c r="B97" s="532" t="s">
        <v>2589</v>
      </c>
      <c r="C97" s="572"/>
      <c r="D97" s="573"/>
      <c r="E97" s="456"/>
      <c r="F97" s="93"/>
      <c r="G97" s="93"/>
      <c r="H97" s="93"/>
      <c r="I97" s="93"/>
      <c r="J97" s="93"/>
      <c r="K97" s="93"/>
      <c r="L97" s="93"/>
      <c r="M97" s="548" t="s">
        <v>2579</v>
      </c>
      <c r="N97" s="549">
        <v>4</v>
      </c>
      <c r="O97" s="548"/>
      <c r="P97" s="550" t="s">
        <v>1030</v>
      </c>
      <c r="Q97" s="483"/>
      <c r="R97" s="516">
        <v>1</v>
      </c>
      <c r="S97" s="172"/>
    </row>
    <row r="98" spans="1:19" ht="15">
      <c r="A98" s="528" t="s">
        <v>829</v>
      </c>
      <c r="B98" s="525" t="s">
        <v>1899</v>
      </c>
      <c r="C98" s="570">
        <v>14</v>
      </c>
      <c r="D98" s="571">
        <v>2</v>
      </c>
      <c r="E98" s="107" t="s">
        <v>1368</v>
      </c>
      <c r="F98" s="95" t="s">
        <v>1900</v>
      </c>
      <c r="G98" s="95" t="s">
        <v>1901</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1964</v>
      </c>
      <c r="G99" s="95" t="s">
        <v>1965</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1966</v>
      </c>
      <c r="G100" s="95" t="s">
        <v>1967</v>
      </c>
      <c r="H100" s="95" t="s">
        <v>1968</v>
      </c>
      <c r="I100" s="95" t="s">
        <v>1969</v>
      </c>
      <c r="J100" s="95" t="s">
        <v>1970</v>
      </c>
      <c r="K100" s="95" t="s">
        <v>1971</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2001</v>
      </c>
      <c r="I102" s="95" t="s">
        <v>2002</v>
      </c>
      <c r="J102" s="95" t="s">
        <v>2003</v>
      </c>
      <c r="K102" s="95" t="s">
        <v>2004</v>
      </c>
      <c r="L102" s="95" t="s">
        <v>2005</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2006</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2017</v>
      </c>
      <c r="G106" s="95" t="s">
        <v>2018</v>
      </c>
      <c r="H106" s="95" t="s">
        <v>2019</v>
      </c>
      <c r="I106" s="95" t="s">
        <v>2020</v>
      </c>
      <c r="J106" s="95" t="s">
        <v>2021</v>
      </c>
      <c r="K106" s="95" t="s">
        <v>2022</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2051</v>
      </c>
      <c r="G107" s="95" t="s">
        <v>2052</v>
      </c>
      <c r="H107" s="95" t="s">
        <v>2053</v>
      </c>
      <c r="I107" s="95" t="s">
        <v>2054</v>
      </c>
      <c r="J107" s="95"/>
      <c r="K107" s="95"/>
      <c r="L107" s="95"/>
      <c r="M107" s="548" t="s">
        <v>1777</v>
      </c>
      <c r="N107" s="549">
        <v>4</v>
      </c>
      <c r="O107" s="548"/>
      <c r="P107" s="550" t="s">
        <v>1130</v>
      </c>
      <c r="Q107" s="483"/>
      <c r="R107" s="516">
        <v>0</v>
      </c>
      <c r="S107" s="172">
        <v>19624</v>
      </c>
    </row>
    <row r="108" spans="1:19" ht="15">
      <c r="A108" s="523" t="s">
        <v>839</v>
      </c>
      <c r="B108" s="525" t="s">
        <v>2161</v>
      </c>
      <c r="C108" s="570">
        <v>19</v>
      </c>
      <c r="D108" s="571">
        <v>3</v>
      </c>
      <c r="E108" s="107" t="s">
        <v>1383</v>
      </c>
      <c r="F108" s="95" t="s">
        <v>2162</v>
      </c>
      <c r="G108" s="95" t="s">
        <v>2163</v>
      </c>
      <c r="H108" s="95" t="s">
        <v>2164</v>
      </c>
      <c r="I108" s="95" t="s">
        <v>2165</v>
      </c>
      <c r="J108" s="95" t="s">
        <v>2166</v>
      </c>
      <c r="K108" s="95" t="s">
        <v>2167</v>
      </c>
      <c r="L108" s="95" t="s">
        <v>2168</v>
      </c>
      <c r="M108" s="548" t="s">
        <v>1777</v>
      </c>
      <c r="N108" s="549">
        <v>4</v>
      </c>
      <c r="O108" s="548"/>
      <c r="P108" s="550" t="s">
        <v>1030</v>
      </c>
      <c r="Q108" s="483"/>
      <c r="R108" s="516">
        <v>0</v>
      </c>
      <c r="S108" s="172">
        <v>19820</v>
      </c>
    </row>
    <row r="109" spans="1:19" ht="15">
      <c r="A109" s="523" t="s">
        <v>2615</v>
      </c>
      <c r="B109" s="529" t="s">
        <v>1600</v>
      </c>
      <c r="C109" s="570" t="s">
        <v>1130</v>
      </c>
      <c r="D109" s="571" t="s">
        <v>1130</v>
      </c>
      <c r="E109" s="107" t="s">
        <v>1601</v>
      </c>
      <c r="F109" s="95" t="s">
        <v>2169</v>
      </c>
      <c r="G109" s="95" t="s">
        <v>2170</v>
      </c>
      <c r="H109" s="95" t="s">
        <v>2171</v>
      </c>
      <c r="I109" s="95" t="s">
        <v>2172</v>
      </c>
      <c r="J109" s="95" t="s">
        <v>2173</v>
      </c>
      <c r="K109" s="95"/>
      <c r="L109" s="95"/>
      <c r="M109" s="548" t="s">
        <v>1777</v>
      </c>
      <c r="N109" s="549">
        <v>4</v>
      </c>
      <c r="O109" s="548"/>
      <c r="P109" s="550" t="s">
        <v>1130</v>
      </c>
      <c r="Q109" s="483"/>
      <c r="R109" s="516">
        <v>0</v>
      </c>
      <c r="S109" s="172">
        <v>19821</v>
      </c>
    </row>
    <row r="110" spans="1:19" ht="15">
      <c r="A110" s="528" t="s">
        <v>840</v>
      </c>
      <c r="B110" s="525" t="s">
        <v>2174</v>
      </c>
      <c r="C110" s="570">
        <v>20</v>
      </c>
      <c r="D110" s="571">
        <v>3</v>
      </c>
      <c r="E110" s="107" t="s">
        <v>1355</v>
      </c>
      <c r="F110" s="95" t="s">
        <v>2175</v>
      </c>
      <c r="G110" s="95" t="s">
        <v>2176</v>
      </c>
      <c r="H110" s="95" t="s">
        <v>2177</v>
      </c>
      <c r="I110" s="95" t="s">
        <v>2178</v>
      </c>
      <c r="J110" s="95" t="s">
        <v>2179</v>
      </c>
      <c r="K110" s="95" t="s">
        <v>2180</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2181</v>
      </c>
      <c r="G111" s="95" t="s">
        <v>2182</v>
      </c>
      <c r="H111" s="95" t="s">
        <v>2183</v>
      </c>
      <c r="I111" s="95" t="s">
        <v>2184</v>
      </c>
      <c r="J111" s="95" t="s">
        <v>2185</v>
      </c>
      <c r="K111" s="95" t="s">
        <v>2186</v>
      </c>
      <c r="L111" s="95" t="s">
        <v>2187</v>
      </c>
      <c r="M111" s="548" t="s">
        <v>1777</v>
      </c>
      <c r="N111" s="549">
        <v>4</v>
      </c>
      <c r="O111" s="548"/>
      <c r="P111" s="550" t="s">
        <v>1130</v>
      </c>
      <c r="Q111" s="483"/>
      <c r="R111" s="516">
        <v>0</v>
      </c>
      <c r="S111" s="172">
        <v>19823</v>
      </c>
    </row>
    <row r="112" spans="1:19" ht="15">
      <c r="A112" s="523" t="s">
        <v>842</v>
      </c>
      <c r="B112" s="525" t="s">
        <v>2188</v>
      </c>
      <c r="C112" s="570" t="s">
        <v>1130</v>
      </c>
      <c r="D112" s="571" t="s">
        <v>1130</v>
      </c>
      <c r="E112" s="107" t="s">
        <v>1602</v>
      </c>
      <c r="F112" s="96" t="s">
        <v>1603</v>
      </c>
      <c r="G112" s="95" t="s">
        <v>2189</v>
      </c>
      <c r="H112" s="95" t="s">
        <v>2190</v>
      </c>
      <c r="I112" s="95" t="s">
        <v>2191</v>
      </c>
      <c r="J112" s="95" t="s">
        <v>2192</v>
      </c>
      <c r="K112" s="95" t="s">
        <v>2193</v>
      </c>
      <c r="L112" s="95" t="s">
        <v>2194</v>
      </c>
      <c r="M112" s="548" t="s">
        <v>1777</v>
      </c>
      <c r="N112" s="549">
        <v>4</v>
      </c>
      <c r="O112" s="548"/>
      <c r="P112" s="550" t="s">
        <v>1130</v>
      </c>
      <c r="Q112" s="483"/>
      <c r="R112" s="516">
        <v>0</v>
      </c>
      <c r="S112" s="172">
        <v>19825</v>
      </c>
    </row>
    <row r="113" spans="1:19" ht="15">
      <c r="A113" s="523" t="s">
        <v>843</v>
      </c>
      <c r="B113" s="525" t="s">
        <v>2195</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2196</v>
      </c>
      <c r="G114" s="95" t="s">
        <v>2197</v>
      </c>
      <c r="H114" s="95" t="s">
        <v>2198</v>
      </c>
      <c r="I114" s="95" t="s">
        <v>2199</v>
      </c>
      <c r="J114" s="95" t="s">
        <v>2200</v>
      </c>
      <c r="K114" s="95" t="s">
        <v>2201</v>
      </c>
      <c r="L114" s="95" t="s">
        <v>2202</v>
      </c>
      <c r="M114" s="548" t="s">
        <v>1777</v>
      </c>
      <c r="N114" s="549">
        <v>4</v>
      </c>
      <c r="O114" s="548"/>
      <c r="P114" s="550" t="s">
        <v>1130</v>
      </c>
      <c r="Q114" s="483"/>
      <c r="R114" s="516">
        <v>0</v>
      </c>
      <c r="S114" s="172">
        <v>19827</v>
      </c>
    </row>
    <row r="115" spans="1:19" ht="15">
      <c r="A115" s="523" t="s">
        <v>845</v>
      </c>
      <c r="B115" s="525" t="s">
        <v>2203</v>
      </c>
      <c r="C115" s="570" t="s">
        <v>1130</v>
      </c>
      <c r="D115" s="571" t="s">
        <v>1130</v>
      </c>
      <c r="E115" s="107" t="s">
        <v>1606</v>
      </c>
      <c r="F115" s="95" t="s">
        <v>2204</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2223</v>
      </c>
      <c r="G116" s="95" t="s">
        <v>2224</v>
      </c>
      <c r="H116" s="95" t="s">
        <v>2225</v>
      </c>
      <c r="I116" s="95" t="s">
        <v>2226</v>
      </c>
      <c r="J116" s="95" t="s">
        <v>2227</v>
      </c>
      <c r="K116" s="95" t="s">
        <v>2228</v>
      </c>
      <c r="L116" s="95" t="s">
        <v>2229</v>
      </c>
      <c r="M116" s="548" t="s">
        <v>1777</v>
      </c>
      <c r="N116" s="549">
        <v>4</v>
      </c>
      <c r="O116" s="548"/>
      <c r="P116" s="550" t="s">
        <v>1130</v>
      </c>
      <c r="Q116" s="483"/>
      <c r="R116" s="516">
        <v>0</v>
      </c>
      <c r="S116" s="172">
        <v>1189</v>
      </c>
    </row>
    <row r="117" spans="1:19" ht="15">
      <c r="A117" s="523" t="s">
        <v>847</v>
      </c>
      <c r="B117" s="525" t="s">
        <v>2235</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2236</v>
      </c>
      <c r="C118" s="570" t="s">
        <v>1130</v>
      </c>
      <c r="D118" s="571" t="s">
        <v>1130</v>
      </c>
      <c r="E118" s="107" t="s">
        <v>28</v>
      </c>
      <c r="F118" s="95" t="s">
        <v>2237</v>
      </c>
      <c r="G118" s="95" t="s">
        <v>2238</v>
      </c>
      <c r="H118" s="95" t="s">
        <v>2239</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2244</v>
      </c>
      <c r="C120" s="570">
        <v>19</v>
      </c>
      <c r="D120" s="571">
        <v>2</v>
      </c>
      <c r="E120" s="107" t="s">
        <v>1608</v>
      </c>
      <c r="F120" s="90" t="s">
        <v>1609</v>
      </c>
      <c r="G120" s="95" t="s">
        <v>2245</v>
      </c>
      <c r="H120" s="95" t="s">
        <v>2246</v>
      </c>
      <c r="I120" s="95" t="s">
        <v>2247</v>
      </c>
      <c r="J120" s="95" t="s">
        <v>2248</v>
      </c>
      <c r="K120" s="95" t="s">
        <v>2249</v>
      </c>
      <c r="L120" s="95"/>
      <c r="M120" s="548" t="s">
        <v>1777</v>
      </c>
      <c r="N120" s="549">
        <v>4</v>
      </c>
      <c r="O120" s="548"/>
      <c r="P120" s="550" t="s">
        <v>1030</v>
      </c>
      <c r="Q120" s="483"/>
      <c r="R120" s="516">
        <v>0</v>
      </c>
      <c r="S120" s="172">
        <v>25712</v>
      </c>
    </row>
    <row r="121" spans="1:19" ht="15">
      <c r="A121" s="528" t="s">
        <v>851</v>
      </c>
      <c r="B121" s="525" t="s">
        <v>2690</v>
      </c>
      <c r="C121" s="570">
        <v>20</v>
      </c>
      <c r="D121" s="571">
        <v>3</v>
      </c>
      <c r="E121" s="107" t="s">
        <v>1610</v>
      </c>
      <c r="F121" s="90" t="s">
        <v>1611</v>
      </c>
      <c r="G121" s="95" t="s">
        <v>2250</v>
      </c>
      <c r="H121" s="95" t="s">
        <v>2251</v>
      </c>
      <c r="I121" s="168"/>
      <c r="J121" s="168"/>
      <c r="K121" s="95"/>
      <c r="L121" s="95"/>
      <c r="M121" s="548" t="s">
        <v>1777</v>
      </c>
      <c r="N121" s="549">
        <v>4</v>
      </c>
      <c r="O121" s="548"/>
      <c r="P121" s="550" t="s">
        <v>1030</v>
      </c>
      <c r="Q121" s="483"/>
      <c r="R121" s="516">
        <v>0</v>
      </c>
      <c r="S121" s="172">
        <v>1194</v>
      </c>
    </row>
    <row r="122" spans="1:19" ht="15">
      <c r="A122" s="523" t="s">
        <v>852</v>
      </c>
      <c r="B122" s="525" t="s">
        <v>2252</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2253</v>
      </c>
      <c r="G123" s="95" t="s">
        <v>2254</v>
      </c>
      <c r="H123" s="95" t="s">
        <v>2255</v>
      </c>
      <c r="I123" s="95" t="s">
        <v>2256</v>
      </c>
      <c r="J123" s="95" t="s">
        <v>2257</v>
      </c>
      <c r="K123" s="96" t="s">
        <v>1614</v>
      </c>
      <c r="L123" s="95" t="s">
        <v>2258</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2286</v>
      </c>
      <c r="G124" s="95" t="s">
        <v>2287</v>
      </c>
      <c r="H124" s="95" t="s">
        <v>2288</v>
      </c>
      <c r="I124" s="168"/>
      <c r="J124" s="95"/>
      <c r="K124" s="95"/>
      <c r="L124" s="95"/>
      <c r="M124" s="548" t="s">
        <v>1777</v>
      </c>
      <c r="N124" s="549">
        <v>4</v>
      </c>
      <c r="O124" s="548"/>
      <c r="P124" s="550" t="s">
        <v>1030</v>
      </c>
      <c r="Q124" s="483"/>
      <c r="R124" s="516">
        <v>0</v>
      </c>
      <c r="S124" s="172">
        <v>1180</v>
      </c>
    </row>
    <row r="125" spans="1:19" ht="15">
      <c r="A125" s="528" t="s">
        <v>855</v>
      </c>
      <c r="B125" s="525" t="s">
        <v>2289</v>
      </c>
      <c r="C125" s="570">
        <v>20</v>
      </c>
      <c r="D125" s="571">
        <v>3</v>
      </c>
      <c r="E125" s="107" t="s">
        <v>1202</v>
      </c>
      <c r="F125" s="95" t="s">
        <v>1585</v>
      </c>
      <c r="G125" s="95" t="s">
        <v>2290</v>
      </c>
      <c r="H125" s="95" t="s">
        <v>2291</v>
      </c>
      <c r="I125" s="95" t="s">
        <v>2292</v>
      </c>
      <c r="J125" s="95" t="s">
        <v>2293</v>
      </c>
      <c r="K125" s="168"/>
      <c r="L125" s="95"/>
      <c r="M125" s="548" t="s">
        <v>1777</v>
      </c>
      <c r="N125" s="549">
        <v>4</v>
      </c>
      <c r="O125" s="548"/>
      <c r="P125" s="550" t="s">
        <v>1030</v>
      </c>
      <c r="Q125" s="483"/>
      <c r="R125" s="516">
        <v>0</v>
      </c>
      <c r="S125" s="172">
        <v>19883</v>
      </c>
    </row>
    <row r="126" spans="1:19" ht="15">
      <c r="A126" s="523" t="s">
        <v>856</v>
      </c>
      <c r="B126" s="525" t="s">
        <v>2294</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2325</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2326</v>
      </c>
      <c r="G128" s="95" t="s">
        <v>2327</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2328</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2335</v>
      </c>
      <c r="G131" s="95" t="s">
        <v>2336</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2337</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2356</v>
      </c>
      <c r="G133" s="95" t="s">
        <v>2357</v>
      </c>
      <c r="H133" s="95" t="s">
        <v>2358</v>
      </c>
      <c r="I133" s="95" t="s">
        <v>2359</v>
      </c>
      <c r="J133" s="95" t="s">
        <v>2360</v>
      </c>
      <c r="K133" s="95" t="s">
        <v>2361</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2362</v>
      </c>
      <c r="G134" s="95" t="s">
        <v>2363</v>
      </c>
      <c r="H134" s="172"/>
      <c r="I134" s="168"/>
      <c r="J134" s="95"/>
      <c r="K134" s="95"/>
      <c r="L134" s="95"/>
      <c r="M134" s="548" t="s">
        <v>1777</v>
      </c>
      <c r="N134" s="549">
        <v>4</v>
      </c>
      <c r="O134" s="548"/>
      <c r="P134" s="550" t="s">
        <v>1030</v>
      </c>
      <c r="Q134" s="483"/>
      <c r="R134" s="516">
        <v>0</v>
      </c>
      <c r="S134" s="172">
        <v>9788</v>
      </c>
    </row>
    <row r="135" spans="1:19" ht="15">
      <c r="A135" s="523" t="s">
        <v>865</v>
      </c>
      <c r="B135" s="525" t="s">
        <v>2364</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2393</v>
      </c>
      <c r="G136" s="95" t="s">
        <v>2394</v>
      </c>
      <c r="H136" s="419" t="s">
        <v>2395</v>
      </c>
      <c r="I136" s="95" t="s">
        <v>2396</v>
      </c>
      <c r="J136" s="95" t="s">
        <v>2397</v>
      </c>
      <c r="K136" s="95"/>
      <c r="L136" s="95"/>
      <c r="M136" s="548" t="s">
        <v>1777</v>
      </c>
      <c r="N136" s="549">
        <v>4</v>
      </c>
      <c r="O136" s="548"/>
      <c r="P136" s="550" t="s">
        <v>1130</v>
      </c>
      <c r="Q136" s="483"/>
      <c r="R136" s="516">
        <v>0</v>
      </c>
      <c r="S136" s="172">
        <v>19962</v>
      </c>
    </row>
    <row r="137" spans="1:19" ht="15">
      <c r="A137" s="528" t="s">
        <v>867</v>
      </c>
      <c r="B137" s="525" t="s">
        <v>2702</v>
      </c>
      <c r="C137" s="570">
        <v>15</v>
      </c>
      <c r="D137" s="571">
        <v>2</v>
      </c>
      <c r="E137" s="107" t="s">
        <v>1624</v>
      </c>
      <c r="F137" s="95" t="s">
        <v>2433</v>
      </c>
      <c r="G137" s="96" t="s">
        <v>1625</v>
      </c>
      <c r="H137" s="95" t="s">
        <v>2434</v>
      </c>
      <c r="I137" s="95" t="s">
        <v>2435</v>
      </c>
      <c r="J137" s="172"/>
      <c r="K137" s="172"/>
      <c r="L137" s="95"/>
      <c r="M137" s="548" t="s">
        <v>1777</v>
      </c>
      <c r="N137" s="549">
        <v>4</v>
      </c>
      <c r="O137" s="548"/>
      <c r="P137" s="550" t="s">
        <v>1030</v>
      </c>
      <c r="Q137" s="483"/>
      <c r="R137" s="516">
        <v>0</v>
      </c>
      <c r="S137" s="172">
        <v>1173</v>
      </c>
    </row>
    <row r="138" spans="1:19" ht="15">
      <c r="A138" s="528" t="s">
        <v>868</v>
      </c>
      <c r="B138" s="525" t="s">
        <v>2436</v>
      </c>
      <c r="C138" s="570">
        <v>15</v>
      </c>
      <c r="D138" s="571">
        <v>2</v>
      </c>
      <c r="E138" s="107" t="s">
        <v>1626</v>
      </c>
      <c r="F138" s="95" t="s">
        <v>2437</v>
      </c>
      <c r="G138" s="95" t="s">
        <v>2438</v>
      </c>
      <c r="H138" s="95" t="s">
        <v>2439</v>
      </c>
      <c r="I138" s="95"/>
      <c r="J138" s="95"/>
      <c r="K138" s="95"/>
      <c r="L138" s="95"/>
      <c r="M138" s="548" t="s">
        <v>1777</v>
      </c>
      <c r="N138" s="549">
        <v>4</v>
      </c>
      <c r="O138" s="548"/>
      <c r="P138" s="550" t="s">
        <v>1030</v>
      </c>
      <c r="Q138" s="483"/>
      <c r="R138" s="516">
        <v>0</v>
      </c>
      <c r="S138" s="172">
        <v>10205</v>
      </c>
    </row>
    <row r="139" spans="1:19" ht="15">
      <c r="A139" s="523" t="s">
        <v>869</v>
      </c>
      <c r="B139" s="525" t="s">
        <v>2440</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2441</v>
      </c>
      <c r="G140" s="95" t="s">
        <v>2442</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2443</v>
      </c>
      <c r="G141" s="95" t="s">
        <v>2444</v>
      </c>
      <c r="H141" s="95"/>
      <c r="I141" s="95"/>
      <c r="J141" s="95"/>
      <c r="K141" s="95"/>
      <c r="L141" s="95"/>
      <c r="M141" s="548" t="s">
        <v>1777</v>
      </c>
      <c r="N141" s="549">
        <v>4</v>
      </c>
      <c r="O141" s="548"/>
      <c r="P141" s="550"/>
      <c r="Q141" s="483"/>
      <c r="R141" s="516">
        <v>0</v>
      </c>
      <c r="S141" s="172">
        <v>19998</v>
      </c>
    </row>
    <row r="142" spans="1:19" ht="15">
      <c r="A142" s="523" t="s">
        <v>872</v>
      </c>
      <c r="B142" s="525" t="s">
        <v>2445</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2446</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2447</v>
      </c>
      <c r="G144" s="95" t="s">
        <v>2448</v>
      </c>
      <c r="H144" s="95" t="s">
        <v>2449</v>
      </c>
      <c r="I144" s="95" t="s">
        <v>2450</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2462</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2467</v>
      </c>
      <c r="G146" s="95" t="s">
        <v>2468</v>
      </c>
      <c r="H146" s="95" t="s">
        <v>2469</v>
      </c>
      <c r="I146" s="95" t="s">
        <v>2470</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2471</v>
      </c>
      <c r="G147" s="95" t="s">
        <v>2472</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2473</v>
      </c>
      <c r="G148" s="95" t="s">
        <v>2474</v>
      </c>
      <c r="H148" s="172"/>
      <c r="I148" s="95"/>
      <c r="J148" s="95"/>
      <c r="K148" s="95"/>
      <c r="L148" s="95"/>
      <c r="M148" s="548" t="s">
        <v>1777</v>
      </c>
      <c r="N148" s="549">
        <v>4</v>
      </c>
      <c r="O148" s="548"/>
      <c r="P148" s="550" t="s">
        <v>1030</v>
      </c>
      <c r="Q148" s="483"/>
      <c r="R148" s="516">
        <v>0</v>
      </c>
      <c r="S148" s="172">
        <v>10208</v>
      </c>
    </row>
    <row r="149" spans="1:19" ht="15">
      <c r="A149" s="523" t="s">
        <v>879</v>
      </c>
      <c r="B149" s="525" t="s">
        <v>2475</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2476</v>
      </c>
      <c r="G150" s="95" t="s">
        <v>2477</v>
      </c>
      <c r="H150" s="419" t="s">
        <v>2478</v>
      </c>
      <c r="I150" s="95" t="s">
        <v>2479</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2480</v>
      </c>
      <c r="G151" s="95" t="s">
        <v>2481</v>
      </c>
      <c r="H151" s="419" t="s">
        <v>2482</v>
      </c>
      <c r="I151" s="95" t="s">
        <v>2483</v>
      </c>
      <c r="J151" s="95" t="s">
        <v>2484</v>
      </c>
      <c r="K151" s="95" t="s">
        <v>2485</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2550</v>
      </c>
      <c r="G152" s="95"/>
      <c r="H152" s="419"/>
      <c r="I152" s="95"/>
      <c r="J152" s="95"/>
      <c r="K152" s="95"/>
      <c r="L152" s="95"/>
      <c r="M152" s="548" t="s">
        <v>1777</v>
      </c>
      <c r="N152" s="549">
        <v>4</v>
      </c>
      <c r="O152" s="548"/>
      <c r="P152" s="550"/>
      <c r="Q152" s="483"/>
      <c r="R152" s="516">
        <v>0</v>
      </c>
      <c r="S152" s="172">
        <v>1216</v>
      </c>
    </row>
    <row r="153" spans="1:19" ht="15">
      <c r="A153" s="533"/>
      <c r="B153" s="534" t="s">
        <v>2590</v>
      </c>
      <c r="C153" s="574"/>
      <c r="D153" s="575"/>
      <c r="E153" s="455"/>
      <c r="F153" s="95"/>
      <c r="G153" s="95"/>
      <c r="H153" s="95"/>
      <c r="I153" s="95"/>
      <c r="J153" s="95"/>
      <c r="K153" s="95"/>
      <c r="L153" s="95"/>
      <c r="M153" s="548" t="s">
        <v>2579</v>
      </c>
      <c r="N153" s="549">
        <v>5</v>
      </c>
      <c r="O153" s="548"/>
      <c r="P153" s="550" t="s">
        <v>1030</v>
      </c>
      <c r="Q153" s="483"/>
      <c r="R153" s="516">
        <v>1</v>
      </c>
      <c r="S153" s="172"/>
    </row>
    <row r="154" spans="1:19" ht="15">
      <c r="A154" s="523" t="s">
        <v>712</v>
      </c>
      <c r="B154" s="525" t="s">
        <v>79</v>
      </c>
      <c r="C154" s="570">
        <v>11</v>
      </c>
      <c r="D154" s="571">
        <v>2</v>
      </c>
      <c r="E154" s="107" t="s">
        <v>1631</v>
      </c>
      <c r="F154" s="95" t="s">
        <v>1889</v>
      </c>
      <c r="G154" s="95" t="s">
        <v>1890</v>
      </c>
      <c r="H154" s="168"/>
      <c r="I154" s="95"/>
      <c r="J154" s="95"/>
      <c r="K154" s="95"/>
      <c r="L154" s="95"/>
      <c r="M154" s="548" t="s">
        <v>1830</v>
      </c>
      <c r="N154" s="549">
        <v>5</v>
      </c>
      <c r="O154" s="548"/>
      <c r="P154" s="550" t="s">
        <v>1030</v>
      </c>
      <c r="Q154" s="483"/>
      <c r="R154" s="516">
        <v>0</v>
      </c>
      <c r="S154" s="172">
        <v>1223</v>
      </c>
    </row>
    <row r="155" spans="1:19" ht="15">
      <c r="A155" s="523" t="s">
        <v>713</v>
      </c>
      <c r="B155" s="525" t="s">
        <v>1891</v>
      </c>
      <c r="C155" s="570">
        <v>5</v>
      </c>
      <c r="D155" s="571">
        <v>2</v>
      </c>
      <c r="E155" s="107" t="s">
        <v>1631</v>
      </c>
      <c r="F155" s="95" t="s">
        <v>1892</v>
      </c>
      <c r="G155" s="95" t="s">
        <v>1893</v>
      </c>
      <c r="H155" s="95" t="s">
        <v>1894</v>
      </c>
      <c r="I155" s="168"/>
      <c r="J155" s="95"/>
      <c r="K155" s="95"/>
      <c r="L155" s="95"/>
      <c r="M155" s="548" t="s">
        <v>1830</v>
      </c>
      <c r="N155" s="549">
        <v>5</v>
      </c>
      <c r="O155" s="548"/>
      <c r="P155" s="550" t="s">
        <v>1030</v>
      </c>
      <c r="Q155" s="483"/>
      <c r="R155" s="516">
        <v>0</v>
      </c>
      <c r="S155" s="172">
        <v>1219</v>
      </c>
    </row>
    <row r="156" spans="1:19" ht="15">
      <c r="A156" s="523" t="s">
        <v>714</v>
      </c>
      <c r="B156" s="525" t="s">
        <v>1895</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1896</v>
      </c>
      <c r="C157" s="570">
        <v>15</v>
      </c>
      <c r="D157" s="571">
        <v>2</v>
      </c>
      <c r="E157" s="107" t="s">
        <v>1633</v>
      </c>
      <c r="F157" s="95" t="s">
        <v>1897</v>
      </c>
      <c r="G157" s="95" t="s">
        <v>1898</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1907</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2679</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1928</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1929</v>
      </c>
      <c r="G163" s="95" t="s">
        <v>1930</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1931</v>
      </c>
      <c r="C165" s="570" t="s">
        <v>1130</v>
      </c>
      <c r="D165" s="571" t="s">
        <v>1130</v>
      </c>
      <c r="E165" s="107" t="s">
        <v>1214</v>
      </c>
      <c r="F165" s="95" t="s">
        <v>1932</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1933</v>
      </c>
      <c r="G166" s="95" t="s">
        <v>1934</v>
      </c>
      <c r="H166" s="95" t="s">
        <v>1935</v>
      </c>
      <c r="I166" s="95" t="s">
        <v>1936</v>
      </c>
      <c r="J166" s="95" t="s">
        <v>1937</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1938</v>
      </c>
      <c r="G167" s="95" t="s">
        <v>1939</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1940</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1941</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1944</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1945</v>
      </c>
      <c r="G172" s="95" t="s">
        <v>1946</v>
      </c>
      <c r="H172" s="95" t="s">
        <v>1947</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1948</v>
      </c>
      <c r="G173" s="95" t="s">
        <v>1949</v>
      </c>
      <c r="H173" s="95"/>
      <c r="I173" s="95"/>
      <c r="J173" s="95"/>
      <c r="K173" s="95"/>
      <c r="L173" s="95"/>
      <c r="M173" s="548" t="s">
        <v>1830</v>
      </c>
      <c r="N173" s="549">
        <v>5</v>
      </c>
      <c r="O173" s="548"/>
      <c r="P173" s="550"/>
      <c r="Q173" s="483"/>
      <c r="R173" s="516">
        <v>0</v>
      </c>
      <c r="S173" s="172">
        <v>19547</v>
      </c>
    </row>
    <row r="174" spans="1:19" ht="15">
      <c r="A174" s="523" t="s">
        <v>732</v>
      </c>
      <c r="B174" s="525" t="s">
        <v>1950</v>
      </c>
      <c r="C174" s="570" t="s">
        <v>1130</v>
      </c>
      <c r="D174" s="571" t="s">
        <v>1130</v>
      </c>
      <c r="E174" s="107" t="s">
        <v>1644</v>
      </c>
      <c r="F174" s="95" t="s">
        <v>1951</v>
      </c>
      <c r="G174" s="95" t="s">
        <v>1952</v>
      </c>
      <c r="H174" s="95"/>
      <c r="I174" s="95"/>
      <c r="J174" s="95"/>
      <c r="K174" s="95"/>
      <c r="L174" s="95"/>
      <c r="M174" s="548" t="s">
        <v>1830</v>
      </c>
      <c r="N174" s="549">
        <v>5</v>
      </c>
      <c r="O174" s="548"/>
      <c r="P174" s="550" t="s">
        <v>1130</v>
      </c>
      <c r="Q174" s="483"/>
      <c r="R174" s="516">
        <v>0</v>
      </c>
      <c r="S174" s="172">
        <v>1224</v>
      </c>
    </row>
    <row r="175" spans="1:19" ht="15">
      <c r="A175" s="523" t="s">
        <v>733</v>
      </c>
      <c r="B175" s="525" t="s">
        <v>1953</v>
      </c>
      <c r="C175" s="570" t="s">
        <v>1130</v>
      </c>
      <c r="D175" s="571" t="s">
        <v>1130</v>
      </c>
      <c r="E175" s="107" t="s">
        <v>1220</v>
      </c>
      <c r="F175" s="95" t="s">
        <v>1954</v>
      </c>
      <c r="G175" s="95"/>
      <c r="H175" s="95"/>
      <c r="I175" s="95"/>
      <c r="J175" s="95"/>
      <c r="K175" s="95"/>
      <c r="L175" s="95"/>
      <c r="M175" s="548" t="s">
        <v>1830</v>
      </c>
      <c r="N175" s="549">
        <v>5</v>
      </c>
      <c r="O175" s="548"/>
      <c r="P175" s="550" t="s">
        <v>1130</v>
      </c>
      <c r="Q175" s="483"/>
      <c r="R175" s="516">
        <v>0</v>
      </c>
      <c r="S175" s="172">
        <v>19548</v>
      </c>
    </row>
    <row r="176" spans="1:19" ht="15">
      <c r="A176" s="523" t="s">
        <v>1955</v>
      </c>
      <c r="B176" s="529" t="s">
        <v>1588</v>
      </c>
      <c r="C176" s="570" t="s">
        <v>1130</v>
      </c>
      <c r="D176" s="571" t="s">
        <v>1130</v>
      </c>
      <c r="E176" s="455" t="s">
        <v>1221</v>
      </c>
      <c r="F176" s="96" t="s">
        <v>1645</v>
      </c>
      <c r="G176" s="95" t="s">
        <v>1956</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2008</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2009</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2010</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2011</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2014</v>
      </c>
      <c r="C183" s="570" t="s">
        <v>1130</v>
      </c>
      <c r="D183" s="571" t="s">
        <v>1130</v>
      </c>
      <c r="E183" s="107" t="s">
        <v>1651</v>
      </c>
      <c r="F183" s="95" t="s">
        <v>2015</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2026</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2027</v>
      </c>
      <c r="G185" s="95" t="s">
        <v>2028</v>
      </c>
      <c r="H185" s="168"/>
      <c r="I185" s="168"/>
      <c r="J185" s="168"/>
      <c r="K185" s="95"/>
      <c r="L185" s="95"/>
      <c r="M185" s="548" t="s">
        <v>1830</v>
      </c>
      <c r="N185" s="549">
        <v>5</v>
      </c>
      <c r="O185" s="548"/>
      <c r="P185" s="550" t="s">
        <v>1030</v>
      </c>
      <c r="Q185" s="483"/>
      <c r="R185" s="516">
        <v>0</v>
      </c>
      <c r="S185" s="172">
        <v>1233</v>
      </c>
    </row>
    <row r="186" spans="1:19" ht="15">
      <c r="A186" s="523" t="s">
        <v>743</v>
      </c>
      <c r="B186" s="525" t="s">
        <v>2029</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2030</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2033</v>
      </c>
      <c r="G191" s="95" t="s">
        <v>2034</v>
      </c>
      <c r="H191" s="95" t="s">
        <v>2035</v>
      </c>
      <c r="I191" s="95" t="s">
        <v>2036</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2037</v>
      </c>
      <c r="C193" s="570" t="s">
        <v>1130</v>
      </c>
      <c r="D193" s="571" t="s">
        <v>1130</v>
      </c>
      <c r="E193" s="107" t="s">
        <v>1225</v>
      </c>
      <c r="F193" s="95" t="s">
        <v>2038</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2040</v>
      </c>
      <c r="G194" s="95" t="s">
        <v>2041</v>
      </c>
      <c r="H194" s="95" t="s">
        <v>2042</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2043</v>
      </c>
      <c r="H195" s="95" t="s">
        <v>2044</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2045</v>
      </c>
      <c r="G196" s="95" t="s">
        <v>2046</v>
      </c>
      <c r="H196" s="95" t="s">
        <v>2047</v>
      </c>
      <c r="I196" s="95" t="s">
        <v>2048</v>
      </c>
      <c r="J196" s="168"/>
      <c r="K196" s="168"/>
      <c r="L196" s="168"/>
      <c r="M196" s="548" t="s">
        <v>1830</v>
      </c>
      <c r="N196" s="549">
        <v>5</v>
      </c>
      <c r="O196" s="548"/>
      <c r="P196" s="550" t="s">
        <v>1030</v>
      </c>
      <c r="Q196" s="483"/>
      <c r="R196" s="516">
        <v>0</v>
      </c>
      <c r="S196" s="172">
        <v>25779</v>
      </c>
    </row>
    <row r="197" spans="1:19" ht="15">
      <c r="A197" s="523" t="s">
        <v>754</v>
      </c>
      <c r="B197" s="525" t="s">
        <v>2049</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2083</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2084</v>
      </c>
      <c r="I199" s="95" t="s">
        <v>2085</v>
      </c>
      <c r="J199" s="95"/>
      <c r="K199" s="95"/>
      <c r="L199" s="95"/>
      <c r="M199" s="548" t="s">
        <v>1830</v>
      </c>
      <c r="N199" s="549">
        <v>5</v>
      </c>
      <c r="O199" s="548"/>
      <c r="P199" s="550"/>
      <c r="Q199" s="483"/>
      <c r="R199" s="516">
        <v>0</v>
      </c>
      <c r="S199" s="172">
        <v>19655</v>
      </c>
    </row>
    <row r="200" spans="1:19" ht="15">
      <c r="A200" s="523" t="s">
        <v>757</v>
      </c>
      <c r="B200" s="525" t="s">
        <v>2686</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2086</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2091</v>
      </c>
      <c r="G203" s="95" t="s">
        <v>2092</v>
      </c>
      <c r="H203" s="95" t="s">
        <v>2093</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2094</v>
      </c>
      <c r="G204" s="95" t="s">
        <v>2095</v>
      </c>
      <c r="H204" s="168"/>
      <c r="I204" s="168"/>
      <c r="J204" s="95"/>
      <c r="K204" s="95"/>
      <c r="L204" s="95"/>
      <c r="M204" s="548" t="s">
        <v>1830</v>
      </c>
      <c r="N204" s="549">
        <v>5</v>
      </c>
      <c r="O204" s="548"/>
      <c r="P204" s="550" t="s">
        <v>1030</v>
      </c>
      <c r="Q204" s="483"/>
      <c r="R204" s="516">
        <v>0</v>
      </c>
      <c r="S204" s="172">
        <v>1294</v>
      </c>
    </row>
    <row r="205" spans="1:19" ht="15">
      <c r="A205" s="523" t="s">
        <v>762</v>
      </c>
      <c r="B205" s="525" t="s">
        <v>2096</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2097</v>
      </c>
      <c r="C206" s="570">
        <v>15</v>
      </c>
      <c r="D206" s="571">
        <v>3</v>
      </c>
      <c r="E206" s="107" t="s">
        <v>1719</v>
      </c>
      <c r="F206" s="418" t="s">
        <v>2098</v>
      </c>
      <c r="G206" s="418"/>
      <c r="H206" s="95"/>
      <c r="I206" s="95"/>
      <c r="J206" s="95"/>
      <c r="K206" s="95"/>
      <c r="L206" s="95"/>
      <c r="M206" s="548" t="s">
        <v>1830</v>
      </c>
      <c r="N206" s="549">
        <v>5</v>
      </c>
      <c r="O206" s="548"/>
      <c r="P206" s="550" t="s">
        <v>1030</v>
      </c>
      <c r="Q206" s="483"/>
      <c r="R206" s="516">
        <v>0</v>
      </c>
      <c r="S206" s="172">
        <v>19666</v>
      </c>
    </row>
    <row r="207" spans="1:19" ht="15">
      <c r="A207" s="523" t="s">
        <v>2687</v>
      </c>
      <c r="B207" s="525" t="s">
        <v>2674</v>
      </c>
      <c r="C207" s="570">
        <v>14</v>
      </c>
      <c r="D207" s="571">
        <v>3</v>
      </c>
      <c r="E207" s="455" t="s">
        <v>1227</v>
      </c>
      <c r="F207" s="96" t="s">
        <v>2675</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2099</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2100</v>
      </c>
      <c r="C216" s="570">
        <v>11</v>
      </c>
      <c r="D216" s="571">
        <v>2</v>
      </c>
      <c r="E216" s="107" t="s">
        <v>1723</v>
      </c>
      <c r="F216" s="95" t="s">
        <v>2101</v>
      </c>
      <c r="G216" s="418" t="s">
        <v>2102</v>
      </c>
      <c r="H216" s="95" t="s">
        <v>2103</v>
      </c>
      <c r="I216" s="95" t="s">
        <v>2104</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2105</v>
      </c>
      <c r="G217" s="95" t="s">
        <v>2106</v>
      </c>
      <c r="H217" s="95" t="s">
        <v>2107</v>
      </c>
      <c r="I217" s="95" t="s">
        <v>2108</v>
      </c>
      <c r="J217" s="95" t="s">
        <v>2109</v>
      </c>
      <c r="K217" s="95" t="s">
        <v>2110</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2111</v>
      </c>
      <c r="G218" s="95" t="s">
        <v>2112</v>
      </c>
      <c r="H218" s="96" t="s">
        <v>1724</v>
      </c>
      <c r="I218" s="95"/>
      <c r="J218" s="95"/>
      <c r="K218" s="95"/>
      <c r="L218" s="95"/>
      <c r="M218" s="548" t="s">
        <v>1830</v>
      </c>
      <c r="N218" s="549">
        <v>5</v>
      </c>
      <c r="O218" s="548"/>
      <c r="P218" s="550" t="s">
        <v>1130</v>
      </c>
      <c r="Q218" s="483"/>
      <c r="R218" s="516">
        <v>0</v>
      </c>
      <c r="S218" s="172">
        <v>10238</v>
      </c>
    </row>
    <row r="219" spans="1:19" ht="15">
      <c r="A219" s="523" t="s">
        <v>2610</v>
      </c>
      <c r="B219" s="525" t="s">
        <v>2113</v>
      </c>
      <c r="C219" s="570">
        <v>14</v>
      </c>
      <c r="D219" s="571">
        <v>3</v>
      </c>
      <c r="E219" s="107" t="s">
        <v>1229</v>
      </c>
      <c r="F219" s="95" t="s">
        <v>2114</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2115</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2128</v>
      </c>
      <c r="C222" s="570" t="s">
        <v>1130</v>
      </c>
      <c r="D222" s="571" t="s">
        <v>1130</v>
      </c>
      <c r="E222" s="107" t="s">
        <v>1632</v>
      </c>
      <c r="F222" s="95" t="s">
        <v>2129</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2137</v>
      </c>
      <c r="C225" s="570">
        <v>19</v>
      </c>
      <c r="D225" s="571">
        <v>3</v>
      </c>
      <c r="E225" s="107" t="s">
        <v>1726</v>
      </c>
      <c r="F225" s="95" t="s">
        <v>2138</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2139</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2140</v>
      </c>
      <c r="C232" s="570">
        <v>20</v>
      </c>
      <c r="D232" s="571">
        <v>3</v>
      </c>
      <c r="E232" s="455" t="s">
        <v>1235</v>
      </c>
      <c r="F232" s="95" t="s">
        <v>2141</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2263</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2313</v>
      </c>
      <c r="G235" s="95" t="s">
        <v>2314</v>
      </c>
      <c r="H235" s="95" t="s">
        <v>2315</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2317</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2628</v>
      </c>
      <c r="B239" s="525" t="s">
        <v>2330</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2338</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2339</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2340</v>
      </c>
      <c r="H243" s="168"/>
      <c r="I243" s="95"/>
      <c r="J243" s="95"/>
      <c r="K243" s="95"/>
      <c r="L243" s="95"/>
      <c r="M243" s="548" t="s">
        <v>1830</v>
      </c>
      <c r="N243" s="549">
        <v>5</v>
      </c>
      <c r="O243" s="548"/>
      <c r="P243" s="550"/>
      <c r="Q243" s="483"/>
      <c r="R243" s="516">
        <v>0</v>
      </c>
      <c r="S243" s="172">
        <v>19919</v>
      </c>
    </row>
    <row r="244" spans="1:19" ht="15">
      <c r="A244" s="523" t="s">
        <v>798</v>
      </c>
      <c r="B244" s="525" t="s">
        <v>2341</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2342</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2343</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2344</v>
      </c>
      <c r="G247" s="95" t="s">
        <v>2345</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2399</v>
      </c>
      <c r="C252" s="570" t="s">
        <v>1130</v>
      </c>
      <c r="D252" s="571" t="s">
        <v>1130</v>
      </c>
      <c r="E252" s="107" t="s">
        <v>1749</v>
      </c>
      <c r="F252" s="95" t="s">
        <v>2400</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2401</v>
      </c>
      <c r="C253" s="570" t="s">
        <v>1130</v>
      </c>
      <c r="D253" s="571" t="s">
        <v>1130</v>
      </c>
      <c r="E253" s="107" t="s">
        <v>1751</v>
      </c>
      <c r="F253" s="95" t="s">
        <v>2402</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2423</v>
      </c>
      <c r="C254" s="570" t="s">
        <v>1130</v>
      </c>
      <c r="D254" s="571" t="s">
        <v>1130</v>
      </c>
      <c r="E254" s="107" t="s">
        <v>90</v>
      </c>
      <c r="F254" s="96" t="s">
        <v>1752</v>
      </c>
      <c r="G254" s="95" t="s">
        <v>2424</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2425</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2426</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2428</v>
      </c>
      <c r="G258" s="95" t="s">
        <v>2429</v>
      </c>
      <c r="H258" s="95" t="s">
        <v>2430</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2431</v>
      </c>
      <c r="G259" s="95" t="s">
        <v>2432</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2487</v>
      </c>
      <c r="G261" s="95" t="s">
        <v>2488</v>
      </c>
      <c r="H261" s="95" t="s">
        <v>2489</v>
      </c>
      <c r="I261" s="95"/>
      <c r="J261" s="95"/>
      <c r="K261" s="95"/>
      <c r="L261" s="95"/>
      <c r="M261" s="548" t="s">
        <v>1830</v>
      </c>
      <c r="N261" s="549">
        <v>5</v>
      </c>
      <c r="O261" s="548"/>
      <c r="P261" s="550"/>
      <c r="Q261" s="483"/>
      <c r="R261" s="516">
        <v>0</v>
      </c>
      <c r="S261" s="172">
        <v>1325</v>
      </c>
    </row>
    <row r="262" spans="1:19" ht="15">
      <c r="A262" s="523" t="s">
        <v>816</v>
      </c>
      <c r="B262" s="525" t="s">
        <v>2490</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2511</v>
      </c>
      <c r="C264" s="570" t="s">
        <v>1130</v>
      </c>
      <c r="D264" s="571" t="s">
        <v>1130</v>
      </c>
      <c r="E264" s="107" t="s">
        <v>1765</v>
      </c>
      <c r="F264" s="95" t="s">
        <v>2512</v>
      </c>
      <c r="G264" s="95" t="s">
        <v>2513</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2514</v>
      </c>
      <c r="G265" s="95" t="s">
        <v>2515</v>
      </c>
      <c r="H265" s="95" t="s">
        <v>2516</v>
      </c>
      <c r="I265" s="95" t="s">
        <v>2517</v>
      </c>
      <c r="J265" s="95"/>
      <c r="K265" s="95"/>
      <c r="L265" s="95"/>
      <c r="M265" s="548" t="s">
        <v>1830</v>
      </c>
      <c r="N265" s="549">
        <v>5</v>
      </c>
      <c r="O265" s="548"/>
      <c r="P265" s="550"/>
      <c r="Q265" s="483"/>
      <c r="R265" s="516">
        <v>0</v>
      </c>
      <c r="S265" s="172">
        <v>19706</v>
      </c>
    </row>
    <row r="266" spans="1:19" ht="15">
      <c r="A266" s="523" t="s">
        <v>820</v>
      </c>
      <c r="B266" s="525" t="s">
        <v>2518</v>
      </c>
      <c r="C266" s="570">
        <v>20</v>
      </c>
      <c r="D266" s="571">
        <v>3</v>
      </c>
      <c r="E266" s="455" t="s">
        <v>94</v>
      </c>
      <c r="F266" s="96" t="s">
        <v>1766</v>
      </c>
      <c r="G266" s="95" t="s">
        <v>2519</v>
      </c>
      <c r="H266" s="95" t="s">
        <v>2520</v>
      </c>
      <c r="I266" s="95" t="s">
        <v>2521</v>
      </c>
      <c r="J266" s="172"/>
      <c r="K266" s="168"/>
      <c r="L266" s="95"/>
      <c r="M266" s="548" t="s">
        <v>1830</v>
      </c>
      <c r="N266" s="549">
        <v>5</v>
      </c>
      <c r="O266" s="548"/>
      <c r="P266" s="550" t="s">
        <v>1030</v>
      </c>
      <c r="Q266" s="483"/>
      <c r="R266" s="516">
        <v>0</v>
      </c>
      <c r="S266" s="172">
        <v>10207</v>
      </c>
    </row>
    <row r="267" spans="1:19" ht="15">
      <c r="A267" s="523" t="s">
        <v>821</v>
      </c>
      <c r="B267" s="525" t="s">
        <v>2522</v>
      </c>
      <c r="C267" s="570" t="s">
        <v>1130</v>
      </c>
      <c r="D267" s="571" t="s">
        <v>1130</v>
      </c>
      <c r="E267" s="107" t="s">
        <v>1767</v>
      </c>
      <c r="F267" s="95" t="s">
        <v>2523</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2524</v>
      </c>
      <c r="G269" s="95" t="s">
        <v>2525</v>
      </c>
      <c r="H269" s="95"/>
      <c r="I269" s="95"/>
      <c r="J269" s="95"/>
      <c r="K269" s="95"/>
      <c r="L269" s="95"/>
      <c r="M269" s="548" t="s">
        <v>1830</v>
      </c>
      <c r="N269" s="549">
        <v>5</v>
      </c>
      <c r="O269" s="548"/>
      <c r="P269" s="550"/>
      <c r="Q269" s="483"/>
      <c r="R269" s="516">
        <v>0</v>
      </c>
      <c r="S269" s="172">
        <v>19709</v>
      </c>
    </row>
    <row r="270" spans="1:19" ht="15">
      <c r="A270" s="523" t="s">
        <v>824</v>
      </c>
      <c r="B270" s="525" t="s">
        <v>2526</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2671</v>
      </c>
      <c r="B271" s="525" t="s">
        <v>1771</v>
      </c>
      <c r="C271" s="570" t="s">
        <v>1130</v>
      </c>
      <c r="D271" s="571" t="s">
        <v>1130</v>
      </c>
      <c r="E271" s="107" t="s">
        <v>1772</v>
      </c>
      <c r="F271" s="95" t="s">
        <v>2527</v>
      </c>
      <c r="G271" s="95"/>
      <c r="H271" s="95"/>
      <c r="I271" s="95"/>
      <c r="J271" s="419"/>
      <c r="K271" s="95"/>
      <c r="L271" s="95"/>
      <c r="M271" s="548" t="s">
        <v>1830</v>
      </c>
      <c r="N271" s="549">
        <v>5</v>
      </c>
      <c r="O271" s="548"/>
      <c r="P271" s="550"/>
      <c r="Q271" s="483"/>
      <c r="R271" s="516">
        <v>0</v>
      </c>
      <c r="S271" s="172">
        <v>19710</v>
      </c>
    </row>
    <row r="272" spans="1:19" ht="15">
      <c r="A272" s="523" t="s">
        <v>825</v>
      </c>
      <c r="B272" s="525" t="s">
        <v>2528</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2538</v>
      </c>
      <c r="C274" s="570">
        <v>15</v>
      </c>
      <c r="D274" s="571">
        <v>2</v>
      </c>
      <c r="E274" s="107" t="s">
        <v>1807</v>
      </c>
      <c r="F274" s="95" t="s">
        <v>2539</v>
      </c>
      <c r="G274" s="95" t="s">
        <v>2540</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2549</v>
      </c>
      <c r="G275" s="98"/>
      <c r="H275" s="98"/>
      <c r="I275" s="95"/>
      <c r="J275" s="95"/>
      <c r="K275" s="95"/>
      <c r="L275" s="95"/>
      <c r="M275" s="548" t="s">
        <v>1830</v>
      </c>
      <c r="N275" s="549">
        <v>5</v>
      </c>
      <c r="O275" s="548"/>
      <c r="P275" s="550" t="s">
        <v>1130</v>
      </c>
      <c r="Q275" s="483"/>
      <c r="R275" s="516">
        <v>0</v>
      </c>
      <c r="S275" s="172">
        <v>1369</v>
      </c>
    </row>
    <row r="276" spans="1:19" ht="15">
      <c r="A276" s="526"/>
      <c r="B276" s="527" t="s">
        <v>2591</v>
      </c>
      <c r="C276" s="572"/>
      <c r="D276" s="573"/>
      <c r="E276" s="107"/>
      <c r="F276" s="95"/>
      <c r="G276" s="98"/>
      <c r="H276" s="98"/>
      <c r="I276" s="95"/>
      <c r="J276" s="95"/>
      <c r="K276" s="95"/>
      <c r="L276" s="95"/>
      <c r="M276" s="548" t="s">
        <v>2583</v>
      </c>
      <c r="N276" s="549">
        <v>6</v>
      </c>
      <c r="O276" s="548"/>
      <c r="P276" s="550" t="s">
        <v>1030</v>
      </c>
      <c r="Q276" s="483"/>
      <c r="R276" s="516">
        <v>1</v>
      </c>
      <c r="S276" s="172"/>
    </row>
    <row r="277" spans="1:19" ht="15">
      <c r="A277" s="523" t="s">
        <v>683</v>
      </c>
      <c r="B277" s="525" t="s">
        <v>2676</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1910</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1990</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2074</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2075</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2609</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2146</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2147</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2148</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2149</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2150</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2151</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2152</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2153</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2612</v>
      </c>
      <c r="B301" s="525" t="s">
        <v>2154</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2613</v>
      </c>
      <c r="B302" s="525" t="s">
        <v>2155</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2614</v>
      </c>
      <c r="B303" s="525" t="s">
        <v>2156</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2157</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2320</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2332</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2333</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2541</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2593</v>
      </c>
      <c r="C310" s="572"/>
      <c r="D310" s="573"/>
      <c r="E310" s="456"/>
      <c r="F310" s="93"/>
      <c r="G310" s="93"/>
      <c r="H310" s="93"/>
      <c r="I310" s="93"/>
      <c r="J310" s="93"/>
      <c r="K310" s="93"/>
      <c r="L310" s="93"/>
      <c r="M310" s="548" t="s">
        <v>2584</v>
      </c>
      <c r="N310" s="549">
        <v>6.8</v>
      </c>
      <c r="O310" s="548"/>
      <c r="P310" s="550" t="s">
        <v>1030</v>
      </c>
      <c r="Q310" s="483"/>
      <c r="R310" s="516">
        <v>1</v>
      </c>
      <c r="S310" s="172"/>
    </row>
    <row r="311" spans="1:19" ht="15">
      <c r="A311" s="526"/>
      <c r="B311" s="536" t="s">
        <v>2592</v>
      </c>
      <c r="C311" s="572"/>
      <c r="D311" s="573"/>
      <c r="E311" s="108"/>
      <c r="F311" s="93"/>
      <c r="G311" s="93"/>
      <c r="H311" s="93"/>
      <c r="I311" s="93"/>
      <c r="J311" s="93"/>
      <c r="K311" s="93"/>
      <c r="L311" s="93"/>
      <c r="M311" s="548" t="s">
        <v>2584</v>
      </c>
      <c r="N311" s="549">
        <v>7</v>
      </c>
      <c r="O311" s="548" t="s">
        <v>1145</v>
      </c>
      <c r="P311" s="550" t="s">
        <v>1030</v>
      </c>
      <c r="Q311" s="483"/>
      <c r="R311" s="516">
        <v>1</v>
      </c>
      <c r="S311" s="172"/>
    </row>
    <row r="312" spans="1:19" ht="15">
      <c r="A312" s="523" t="s">
        <v>520</v>
      </c>
      <c r="B312" s="525" t="s">
        <v>1878</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1886</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1887</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1902</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1903</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1905</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1942</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1957</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2681</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1958</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1959</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1960</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1961</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1962</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2603</v>
      </c>
      <c r="B334" s="525" t="s">
        <v>2602</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2604</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2605</v>
      </c>
      <c r="B336" s="525" t="s">
        <v>1963</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1985</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2606</v>
      </c>
      <c r="B338" s="525" t="s">
        <v>1986</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2607</v>
      </c>
      <c r="B339" s="525" t="s">
        <v>1987</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1988</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1989</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2057</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2058</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2067</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2068</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2684</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2125</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2127</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2132</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2133</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2134</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2207</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2208</v>
      </c>
      <c r="C365" s="570" t="s">
        <v>1130</v>
      </c>
      <c r="D365" s="571" t="s">
        <v>1130</v>
      </c>
      <c r="E365" s="108" t="s">
        <v>17</v>
      </c>
      <c r="F365" s="93" t="s">
        <v>2209</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2210</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2218</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2240</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2241</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2242</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2243</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2275</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2276</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2277</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2278</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2279</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2280</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2281</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2623</v>
      </c>
      <c r="B387" s="525" t="s">
        <v>2282</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2624</v>
      </c>
      <c r="B388" s="525" t="s">
        <v>2283</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2284</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2285</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2297</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2305</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2625</v>
      </c>
      <c r="B397" s="525" t="s">
        <v>2306</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2626</v>
      </c>
      <c r="B400" s="525" t="s">
        <v>2307</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2627</v>
      </c>
      <c r="B402" s="525" t="s">
        <v>2308</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2309</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2310</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2311</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2312</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2334</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2355</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2365</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2366</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2367</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2368</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2629</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2369</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2370</v>
      </c>
      <c r="C427" s="570">
        <v>9</v>
      </c>
      <c r="D427" s="571">
        <v>2</v>
      </c>
      <c r="E427" s="456" t="s">
        <v>17</v>
      </c>
      <c r="F427" s="93" t="s">
        <v>2371</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2372</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2373</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2374</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2375</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2376</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2377</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2630</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2631</v>
      </c>
      <c r="B439" s="525" t="s">
        <v>2378</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2632</v>
      </c>
      <c r="B440" s="525" t="s">
        <v>2379</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2633</v>
      </c>
      <c r="B441" s="525" t="s">
        <v>2380</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2634</v>
      </c>
      <c r="B442" s="525" t="s">
        <v>2381</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2635</v>
      </c>
      <c r="B443" s="525" t="s">
        <v>2382</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2636</v>
      </c>
      <c r="B444" s="525" t="s">
        <v>2383</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2637</v>
      </c>
      <c r="B445" s="525" t="s">
        <v>2384</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2638</v>
      </c>
      <c r="B446" s="525" t="s">
        <v>2385</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2639</v>
      </c>
      <c r="B447" s="525" t="s">
        <v>2386</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2640</v>
      </c>
      <c r="B448" s="525" t="s">
        <v>2387</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2641</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2642</v>
      </c>
      <c r="B450" s="525" t="s">
        <v>2388</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2643</v>
      </c>
      <c r="B451" s="525" t="s">
        <v>2697</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2644</v>
      </c>
      <c r="B452" s="525" t="s">
        <v>2389</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2645</v>
      </c>
      <c r="B453" s="525" t="s">
        <v>2698</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2646</v>
      </c>
      <c r="B454" s="525" t="s">
        <v>2390</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2647</v>
      </c>
      <c r="B455" s="525" t="s">
        <v>2391</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2648</v>
      </c>
      <c r="B456" s="525" t="s">
        <v>2392</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2649</v>
      </c>
      <c r="B457" s="525" t="s">
        <v>2699</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2404</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2701</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2652</v>
      </c>
      <c r="B468" s="525" t="s">
        <v>2410</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2411</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2713</v>
      </c>
      <c r="B470" s="525" t="s">
        <v>2714</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2653</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2655</v>
      </c>
      <c r="B472" s="525" t="s">
        <v>2654</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2414</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2656</v>
      </c>
      <c r="B476" s="525" t="s">
        <v>2416</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2657</v>
      </c>
      <c r="B477" s="525" t="s">
        <v>2417</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2658</v>
      </c>
      <c r="B478" s="525" t="s">
        <v>2418</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2659</v>
      </c>
      <c r="B480" s="525" t="s">
        <v>2419</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2660</v>
      </c>
      <c r="B481" s="525" t="s">
        <v>2420</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2661</v>
      </c>
      <c r="B482" s="525" t="s">
        <v>2421</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2457</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2458</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2459</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2496</v>
      </c>
      <c r="C486" s="570">
        <v>18</v>
      </c>
      <c r="D486" s="571">
        <v>3</v>
      </c>
      <c r="E486" s="456" t="s">
        <v>28</v>
      </c>
      <c r="F486" s="93" t="s">
        <v>1569</v>
      </c>
      <c r="G486" s="93" t="s">
        <v>2497</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2667</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2704</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2536</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2556</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2557</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2558</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2559</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2706</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2562</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2563</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2564</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2673</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2565</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2566</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2567</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2594</v>
      </c>
      <c r="C517" s="572"/>
      <c r="D517" s="573"/>
      <c r="E517" s="108"/>
      <c r="F517" s="93"/>
      <c r="G517" s="93"/>
      <c r="H517" s="93"/>
      <c r="I517" s="93"/>
      <c r="J517" s="93"/>
      <c r="K517" s="93"/>
      <c r="L517" s="93"/>
      <c r="M517" s="548" t="s">
        <v>2584</v>
      </c>
      <c r="N517" s="549">
        <v>8</v>
      </c>
      <c r="O517" s="548" t="s">
        <v>1143</v>
      </c>
      <c r="P517" s="550" t="s">
        <v>1030</v>
      </c>
      <c r="Q517" s="483"/>
      <c r="R517" s="516">
        <v>1</v>
      </c>
      <c r="S517" s="172"/>
    </row>
    <row r="518" spans="1:19" ht="15">
      <c r="A518" s="528" t="s">
        <v>363</v>
      </c>
      <c r="B518" s="525" t="s">
        <v>1400</v>
      </c>
      <c r="C518" s="570">
        <v>7</v>
      </c>
      <c r="D518" s="571">
        <v>3</v>
      </c>
      <c r="E518" s="455" t="s">
        <v>28</v>
      </c>
      <c r="F518" s="93" t="s">
        <v>1875</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1876</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1879</v>
      </c>
      <c r="G523" s="93" t="s">
        <v>1880</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1881</v>
      </c>
      <c r="G524" s="93" t="s">
        <v>1882</v>
      </c>
      <c r="H524" s="93" t="s">
        <v>1883</v>
      </c>
      <c r="I524" s="89" t="s">
        <v>1884</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2601</v>
      </c>
      <c r="B528" s="525" t="s">
        <v>1904</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1911</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1913</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1914</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1922</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1923</v>
      </c>
      <c r="C534" s="570">
        <v>14</v>
      </c>
      <c r="D534" s="571">
        <v>2</v>
      </c>
      <c r="E534" s="456" t="s">
        <v>119</v>
      </c>
      <c r="F534" s="93" t="s">
        <v>1924</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2680</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1943</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1974</v>
      </c>
      <c r="C543" s="570" t="s">
        <v>1130</v>
      </c>
      <c r="D543" s="571" t="s">
        <v>1130</v>
      </c>
      <c r="E543" s="108" t="s">
        <v>28</v>
      </c>
      <c r="F543" s="93" t="s">
        <v>1975</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1976</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1983</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1984</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2012</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2024</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2025</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2050</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2064</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2608</v>
      </c>
      <c r="B569" s="525" t="s">
        <v>2065</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2069</v>
      </c>
      <c r="B571" s="525" t="s">
        <v>2070</v>
      </c>
      <c r="C571" s="570">
        <v>17</v>
      </c>
      <c r="D571" s="571">
        <v>3</v>
      </c>
      <c r="E571" s="456" t="s">
        <v>1300</v>
      </c>
      <c r="F571" s="93" t="s">
        <v>2071</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2080</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2081</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2082</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2088</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2089</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2090</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2116</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2119</v>
      </c>
      <c r="C580" s="570" t="s">
        <v>1130</v>
      </c>
      <c r="D580" s="571" t="s">
        <v>1130</v>
      </c>
      <c r="E580" s="108" t="s">
        <v>1296</v>
      </c>
      <c r="F580" s="93" t="s">
        <v>2120</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2122</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2123</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2144</v>
      </c>
      <c r="C591" s="570" t="s">
        <v>1130</v>
      </c>
      <c r="D591" s="571" t="s">
        <v>1130</v>
      </c>
      <c r="E591" s="108" t="s">
        <v>28</v>
      </c>
      <c r="F591" s="93" t="s">
        <v>2145</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2160</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2212</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2221</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2222</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2231</v>
      </c>
      <c r="C609" s="570" t="s">
        <v>1130</v>
      </c>
      <c r="D609" s="571" t="s">
        <v>1130</v>
      </c>
      <c r="E609" s="108" t="s">
        <v>17</v>
      </c>
      <c r="F609" s="93" t="s">
        <v>2232</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2616</v>
      </c>
      <c r="B610" s="525" t="s">
        <v>2233</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2234</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2259</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2617</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2618</v>
      </c>
      <c r="B619" s="525" t="s">
        <v>2260</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2619</v>
      </c>
      <c r="B621" s="525" t="s">
        <v>2264</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2620</v>
      </c>
      <c r="B623" s="525" t="s">
        <v>2265</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2266</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2621</v>
      </c>
      <c r="B625" s="525" t="s">
        <v>2267</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2622</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2268</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2269</v>
      </c>
      <c r="C629" s="570">
        <v>12</v>
      </c>
      <c r="D629" s="571">
        <v>1</v>
      </c>
      <c r="E629" s="456" t="s">
        <v>17</v>
      </c>
      <c r="F629" s="93" t="s">
        <v>2270</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2271</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2272</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2274</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2295</v>
      </c>
      <c r="C635" s="570">
        <v>11</v>
      </c>
      <c r="D635" s="571">
        <v>1</v>
      </c>
      <c r="E635" s="456" t="s">
        <v>166</v>
      </c>
      <c r="F635" s="93" t="s">
        <v>2296</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2316</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2331</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2348</v>
      </c>
      <c r="C643" s="570">
        <v>9</v>
      </c>
      <c r="D643" s="571">
        <v>2</v>
      </c>
      <c r="E643" s="456" t="s">
        <v>28</v>
      </c>
      <c r="F643" s="93" t="s">
        <v>2349</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2350</v>
      </c>
      <c r="C644" s="570">
        <v>8</v>
      </c>
      <c r="D644" s="571">
        <v>2</v>
      </c>
      <c r="E644" s="456" t="s">
        <v>106</v>
      </c>
      <c r="F644" s="93" t="s">
        <v>2351</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2405</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2650</v>
      </c>
      <c r="B648" s="525" t="s">
        <v>2406</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2651</v>
      </c>
      <c r="B649" s="525" t="s">
        <v>2407</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2409</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2663</v>
      </c>
      <c r="B655" s="525" t="s">
        <v>2662</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2665</v>
      </c>
      <c r="B656" s="525" t="s">
        <v>2453</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2455</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2456</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2463</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2464</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2465</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2466</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2492</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2493</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2494</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2495</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2498</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2703</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2501</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2502</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2668</v>
      </c>
      <c r="B677" s="525" t="s">
        <v>2503</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2669</v>
      </c>
      <c r="B678" s="525" t="s">
        <v>2504</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2670</v>
      </c>
      <c r="B679" s="525" t="s">
        <v>2505</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2545</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2551</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2552</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2553</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2595</v>
      </c>
      <c r="C692" s="572"/>
      <c r="D692" s="573"/>
      <c r="E692" s="456"/>
      <c r="F692" s="93"/>
      <c r="G692" s="93"/>
      <c r="H692" s="93"/>
      <c r="I692" s="93"/>
      <c r="J692" s="93"/>
      <c r="K692" s="93"/>
      <c r="L692" s="93"/>
      <c r="M692" s="548" t="s">
        <v>2584</v>
      </c>
      <c r="N692" s="549">
        <v>9</v>
      </c>
      <c r="O692" s="548" t="s">
        <v>1860</v>
      </c>
      <c r="P692" s="550"/>
      <c r="Q692" s="483"/>
      <c r="R692" s="516">
        <v>1</v>
      </c>
      <c r="S692" s="172"/>
    </row>
    <row r="693" spans="1:19" ht="15">
      <c r="A693" s="523" t="s">
        <v>214</v>
      </c>
      <c r="B693" s="525" t="s">
        <v>1874</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2677</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1877</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1888</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2678</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1906</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1925</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1926</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1972</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1973</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1978</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1980</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1981</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1982</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2023</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2031</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2055</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2059</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2060</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2061</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2062</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2066</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2078</v>
      </c>
      <c r="B756" s="525" t="s">
        <v>2079</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2087</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2117</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2118</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2124</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2159</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2689</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2214</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2215</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2216</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2217</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2219</v>
      </c>
      <c r="C785" s="570" t="s">
        <v>1130</v>
      </c>
      <c r="D785" s="571" t="s">
        <v>1130</v>
      </c>
      <c r="E785" s="108" t="s">
        <v>17</v>
      </c>
      <c r="F785" s="93" t="s">
        <v>2220</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2230</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2318</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2322</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2693</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2323</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2324</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2694</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2695</v>
      </c>
      <c r="C803" s="570" t="s">
        <v>1130</v>
      </c>
      <c r="D803" s="571" t="s">
        <v>1130</v>
      </c>
      <c r="E803" s="108" t="s">
        <v>17</v>
      </c>
      <c r="F803" s="93" t="s">
        <v>2352</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2696</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2353</v>
      </c>
      <c r="C805" s="570" t="s">
        <v>1130</v>
      </c>
      <c r="D805" s="571" t="s">
        <v>1130</v>
      </c>
      <c r="E805" s="108" t="s">
        <v>29</v>
      </c>
      <c r="F805" s="93" t="s">
        <v>2354</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2700</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2413</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2427</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2486</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2500</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2531</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2705</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2561</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2596</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1885</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1912</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1920</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1921</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1977</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1979</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2016</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2032</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2056</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2063</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2076</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2077</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2611</v>
      </c>
      <c r="B863" s="525" t="s">
        <v>2121</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2126</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2142</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2143</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2158</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2213</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2273</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2321</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2329</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2347</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2408</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2412</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2415</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2664</v>
      </c>
      <c r="B882" s="525" t="s">
        <v>2452</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2666</v>
      </c>
      <c r="B883" s="525" t="s">
        <v>2454</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2460</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2461</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2499</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2506</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2507</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2508</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2530</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2672</v>
      </c>
      <c r="B897" s="525" t="s">
        <v>2560</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2717</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X37" sqref="X37"/>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2718</v>
      </c>
      <c r="B2" s="325"/>
      <c r="C2" s="249" t="s">
        <v>2720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2730</v>
      </c>
      <c r="B3" s="325"/>
      <c r="C3" s="247" t="s">
        <v>2721</v>
      </c>
      <c r="D3" s="186"/>
      <c r="E3" s="186"/>
      <c r="F3" s="378"/>
      <c r="G3" s="378"/>
      <c r="H3" s="379"/>
      <c r="I3" s="330"/>
      <c r="J3" s="379"/>
      <c r="K3" s="335" t="s">
        <v>2722</v>
      </c>
      <c r="L3" s="377"/>
      <c r="M3" s="329" t="s">
        <v>2719</v>
      </c>
      <c r="N3" s="376"/>
      <c r="O3" s="376"/>
      <c r="P3" s="470"/>
      <c r="Q3" s="183"/>
      <c r="R3" s="183"/>
      <c r="S3" s="183"/>
      <c r="T3" s="183"/>
      <c r="U3" s="183"/>
      <c r="V3" s="183"/>
      <c r="W3" s="280"/>
      <c r="X3" s="193"/>
    </row>
    <row r="4" spans="1:24" ht="13.5" thickBot="1">
      <c r="A4" s="248">
        <v>41870</v>
      </c>
      <c r="B4" s="187"/>
      <c r="C4" s="188"/>
      <c r="D4" s="189"/>
      <c r="E4" s="189"/>
      <c r="F4" s="188"/>
      <c r="G4" s="188"/>
      <c r="H4" s="189"/>
      <c r="I4" s="264" t="s">
        <v>1857</v>
      </c>
      <c r="J4" s="190"/>
      <c r="K4" s="190"/>
      <c r="L4" s="191"/>
      <c r="M4" s="191"/>
      <c r="N4" s="321" t="s">
        <v>2728</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8.140845070422536</v>
      </c>
      <c r="M5" s="590"/>
      <c r="N5" s="593" t="s">
        <v>903</v>
      </c>
      <c r="O5" s="594">
        <v>7.850746268656716</v>
      </c>
      <c r="P5" s="472"/>
      <c r="Q5" s="183"/>
      <c r="R5" s="183"/>
      <c r="S5" s="183"/>
      <c r="T5" s="183"/>
      <c r="U5" s="183"/>
      <c r="V5" s="183"/>
      <c r="W5" s="280"/>
      <c r="X5" s="192"/>
    </row>
    <row r="6" spans="1:24" ht="13.5" thickBot="1">
      <c r="A6" s="498" t="s">
        <v>1388</v>
      </c>
      <c r="B6" s="82" t="s">
        <v>1851</v>
      </c>
      <c r="C6" s="82"/>
      <c r="D6" s="29"/>
      <c r="E6" s="29"/>
      <c r="F6" s="17"/>
      <c r="G6" s="3"/>
      <c r="H6" s="29"/>
      <c r="I6" s="281" t="s">
        <v>1843</v>
      </c>
      <c r="J6" s="276"/>
      <c r="K6" s="278"/>
      <c r="L6" s="592" t="s">
        <v>2727</v>
      </c>
      <c r="M6" s="591"/>
      <c r="N6" s="621" t="s">
        <v>2729</v>
      </c>
      <c r="O6" s="621"/>
      <c r="P6" s="473"/>
      <c r="Q6" s="183"/>
      <c r="R6" s="183"/>
      <c r="S6" s="183"/>
      <c r="T6" s="183"/>
      <c r="U6" s="183"/>
      <c r="V6" s="183"/>
      <c r="W6" s="280"/>
      <c r="X6" s="193"/>
    </row>
    <row r="7" spans="1:24" ht="12.75">
      <c r="A7" s="499" t="s">
        <v>2578</v>
      </c>
      <c r="B7" s="83">
        <v>100</v>
      </c>
      <c r="C7" s="84"/>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f>IF(ISERROR(AVERAGE(I23:I82)),"     -",AVERAGE(I23:I82))</f>
        <v>9.105263157894736</v>
      </c>
      <c r="O8" s="510">
        <f>IF(ISERROR(AVERAGE(J23:J82)),"      -",AVERAGE(J23:J82))</f>
        <v>1.7894736842105263</v>
      </c>
      <c r="P8" s="474"/>
      <c r="Q8" s="183"/>
      <c r="R8" s="183"/>
      <c r="S8" s="183"/>
      <c r="T8" s="183"/>
      <c r="U8" s="183"/>
      <c r="V8" s="183"/>
      <c r="W8" s="280"/>
      <c r="X8" s="193"/>
    </row>
    <row r="9" spans="1:24" ht="13.5" thickBot="1">
      <c r="A9" s="498" t="s">
        <v>1871</v>
      </c>
      <c r="B9" s="160">
        <v>71.23</v>
      </c>
      <c r="C9" s="161"/>
      <c r="D9" s="200"/>
      <c r="E9" s="200"/>
      <c r="F9" s="164">
        <f aca="true" t="shared" si="0" ref="F9:F15">($B9*$B$7+$C9*$C$7)/100</f>
        <v>71.23</v>
      </c>
      <c r="G9" s="307"/>
      <c r="H9" s="201"/>
      <c r="I9" s="266"/>
      <c r="J9" s="262"/>
      <c r="K9" s="268"/>
      <c r="L9" s="202"/>
      <c r="M9" s="199" t="s">
        <v>1071</v>
      </c>
      <c r="N9" s="510">
        <f>IF(ISERROR(STDEVP(I23:I82)),"     -",STDEVP(I23:I82))</f>
        <v>3.07613456762157</v>
      </c>
      <c r="O9" s="510">
        <f>IF(ISERROR(STDEVP(J23:J82)),"      -",STDEVP(J23:J82))</f>
        <v>0.6137844099837159</v>
      </c>
      <c r="P9" s="474"/>
      <c r="Q9" s="183"/>
      <c r="R9" s="183"/>
      <c r="S9" s="183"/>
      <c r="T9" s="183"/>
      <c r="U9" s="183"/>
      <c r="V9" s="183"/>
      <c r="W9" s="283"/>
      <c r="X9" s="284"/>
    </row>
    <row r="10" spans="1:22" ht="13.5" thickTop="1">
      <c r="A10" s="500" t="s">
        <v>2576</v>
      </c>
      <c r="B10" s="496" t="s">
        <v>2575</v>
      </c>
      <c r="C10" s="402"/>
      <c r="D10" s="203"/>
      <c r="E10" s="203"/>
      <c r="F10" s="164"/>
      <c r="G10" s="307"/>
      <c r="H10" s="204"/>
      <c r="I10" s="274"/>
      <c r="J10" s="269" t="s">
        <v>1075</v>
      </c>
      <c r="K10" s="269"/>
      <c r="L10" s="205"/>
      <c r="M10" s="206" t="s">
        <v>1072</v>
      </c>
      <c r="N10" s="314">
        <f>MIN(I23:I82)</f>
        <v>2</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13</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4</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2</v>
      </c>
      <c r="L13" s="208"/>
      <c r="M13" s="212" t="s">
        <v>1084</v>
      </c>
      <c r="N13" s="315">
        <f>COUNTIF(F23:F82,"&gt;0")</f>
        <v>31</v>
      </c>
      <c r="O13" s="463"/>
      <c r="P13" s="477"/>
      <c r="Q13" s="183"/>
      <c r="R13" s="183"/>
      <c r="S13" s="183"/>
      <c r="T13" s="183"/>
      <c r="U13" s="183"/>
      <c r="V13" s="183"/>
    </row>
    <row r="14" spans="1:22" ht="12.75">
      <c r="A14" s="502" t="s">
        <v>1136</v>
      </c>
      <c r="B14" s="396"/>
      <c r="C14" s="397"/>
      <c r="D14" s="33"/>
      <c r="E14" s="33"/>
      <c r="F14" s="165">
        <f t="shared" si="0"/>
        <v>0</v>
      </c>
      <c r="G14" s="207"/>
      <c r="H14" s="87"/>
      <c r="I14" s="617" t="s">
        <v>2570</v>
      </c>
      <c r="J14" s="616"/>
      <c r="K14" s="318">
        <f>COUNTIF($G$23:$G$82,"=PTE")+COUNTIF($G$23:$G$82,"=LIC")</f>
        <v>1</v>
      </c>
      <c r="L14" s="208"/>
      <c r="M14" s="213" t="s">
        <v>1083</v>
      </c>
      <c r="N14" s="316">
        <f>COUNTIF($I$23:$I$82,"&gt;-1")</f>
        <v>19</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23</v>
      </c>
      <c r="L15" s="208"/>
      <c r="M15" s="214" t="s">
        <v>1080</v>
      </c>
      <c r="N15" s="317">
        <f>COUNTIF(J23:J82,"=1")</f>
        <v>6</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11</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2</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71.23500000000001</v>
      </c>
      <c r="C20" s="162">
        <f>SUM(C23:C82)</f>
        <v>0</v>
      </c>
      <c r="D20" s="88"/>
      <c r="E20" s="340" t="s">
        <v>1035</v>
      </c>
      <c r="F20" s="166">
        <f>($B20*$B$7+$C20*$C$7)/100</f>
        <v>71.23500000000001</v>
      </c>
      <c r="G20" s="15"/>
      <c r="H20" s="32"/>
      <c r="I20" s="265"/>
      <c r="J20" s="265"/>
      <c r="K20" s="16"/>
      <c r="L20" s="17"/>
      <c r="M20" s="10"/>
      <c r="N20" s="10"/>
      <c r="O20" s="467"/>
      <c r="P20" s="479"/>
      <c r="Q20" s="216" t="s">
        <v>1079</v>
      </c>
      <c r="R20" s="183"/>
      <c r="S20" s="183"/>
      <c r="T20" s="183"/>
      <c r="U20" s="183"/>
      <c r="V20" s="183" t="s">
        <v>1130</v>
      </c>
      <c r="W20" s="341" t="s">
        <v>2725</v>
      </c>
    </row>
    <row r="21" spans="1:23" ht="12.75">
      <c r="A21" s="5" t="s">
        <v>196</v>
      </c>
      <c r="B21" s="163">
        <f>B20*B7/100</f>
        <v>71.23500000000001</v>
      </c>
      <c r="C21" s="163">
        <f>C20*C7/100</f>
        <v>0</v>
      </c>
      <c r="D21" s="33" t="str">
        <f>IF(F21=0,"",IF((ABS(F21-F19))&gt;(0.2*F21),CONCATENATE(" rec. par taxa (",F21," %) supérieur à 20 % !"),""))</f>
        <v> rec. par taxa (71,235 %) supérieur à 20 % !</v>
      </c>
      <c r="E21" s="343" t="str">
        <f>IF(F21=0,"",IF((ABS(F21-F19))&gt;(0.2*F21),CONCATENATE("ATTENTION : écart entre rec. par grp (",F19," %) ","et",""),""))</f>
        <v>ATTENTION : écart entre rec. par grp (0 %) et</v>
      </c>
      <c r="F21" s="167">
        <f>B21+C21</f>
        <v>71.23500000000001</v>
      </c>
      <c r="G21" s="245"/>
      <c r="H21" s="33"/>
      <c r="I21" s="6"/>
      <c r="J21" s="6"/>
      <c r="K21" s="7"/>
      <c r="L21" s="7"/>
      <c r="M21" s="8"/>
      <c r="N21" s="8"/>
      <c r="O21" s="468"/>
      <c r="P21" s="480"/>
      <c r="Q21" s="331" t="s">
        <v>1017</v>
      </c>
      <c r="R21" s="183"/>
      <c r="S21" s="183"/>
      <c r="T21" s="183"/>
      <c r="U21" s="183"/>
      <c r="V21" s="183" t="s">
        <v>1130</v>
      </c>
      <c r="W21" s="341" t="s">
        <v>2726</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t="s">
        <v>903</v>
      </c>
      <c r="B23" s="239">
        <v>10</v>
      </c>
      <c r="C23" s="240"/>
      <c r="D23" s="221" t="str">
        <f>IF(ISERROR(VLOOKUP($A23,'liste reference'!$A$7:$D$904,2,0)),IF(ISERROR(VLOOKUP($A23,'liste reference'!$B$7:$D$904,1,0)),"",VLOOKUP($A23,'liste reference'!$B$7:$D$904,1,0)),VLOOKUP($A23,'liste reference'!$A$7:$D$904,2,0))</f>
        <v>Chara vulgaris</v>
      </c>
      <c r="E23" s="221" t="e">
        <f>IF(D23="",,VLOOKUP(D23,D$22:D22,1,0))</f>
        <v>#N/A</v>
      </c>
      <c r="F23" s="36">
        <f aca="true" t="shared" si="1" ref="F23:F54">($B23*$B$7+$C23*$C$7)/100</f>
        <v>10</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Chara vulgaris</v>
      </c>
      <c r="L23" s="334"/>
      <c r="M23" s="334"/>
      <c r="N23" s="334"/>
      <c r="O23" s="367"/>
      <c r="P23" s="367">
        <f>IF($A23="NEWCOD",IF($AC23="","No",$AC23),IF(ISTEXT($E23),"DEJA SAISI !",IF($A23="","",IF(ISERROR(VLOOKUP($A23,'liste reference'!A:S,19,FALSE)),IF(ISERROR(VLOOKUP($A23,'liste reference'!B:S,19,FALSE)),"",VLOOKUP($A23,'liste reference'!B:S,19,FALSE)),VLOOKUP($A23,'liste reference'!A:S,19,FALSE)))))</f>
        <v>5261</v>
      </c>
      <c r="Q23" s="222">
        <f aca="true" t="shared" si="2" ref="Q23:Q54">IF(ISTEXT(H23),"",(B23*$B$7/100)+(C23*$C$7/100))</f>
        <v>10</v>
      </c>
      <c r="R23" s="223">
        <f aca="true" t="shared" si="3" ref="R23:R54">IF(OR(ISTEXT(H23),Q23=0),"",IF(Q23&lt;0.1,1,IF(Q23&lt;1,2,IF(Q23&lt;10,3,IF(Q23&lt;50,4,IF(Q23&gt;=50,5,""))))))</f>
        <v>4</v>
      </c>
      <c r="S23" s="223">
        <f aca="true" t="shared" si="4" ref="S23:S54">IF(ISERROR(R23*I23),0,R23*I23)</f>
        <v>52</v>
      </c>
      <c r="T23" s="223">
        <f aca="true" t="shared" si="5" ref="T23:T54">IF(ISERROR(R23*I23*J23),0,R23*I23*J23)</f>
        <v>52</v>
      </c>
      <c r="U23" s="223">
        <f aca="true" t="shared" si="6" ref="U23:U54">IF(ISERROR(R23*J23),0,R23*J23)</f>
        <v>4</v>
      </c>
      <c r="V23" s="287">
        <f aca="true" t="shared" si="7" ref="V23:V54">IF(AND(A23="",F23=0),"",IF(F23=0,"Il manque le(s) % de rec. !",""))</f>
      </c>
      <c r="W23" s="289" t="s">
        <v>1130</v>
      </c>
      <c r="Y23" s="324" t="str">
        <f>IF(A23="new.cod","NEWCOD",IF(AND((Z23=""),ISTEXT(A23)),A23,IF(Z23="","",INDEX('liste reference'!$A$8:$A$904,Z23))))</f>
        <v>CHAVUL</v>
      </c>
      <c r="Z23" s="183">
        <f>IF(ISERROR(MATCH(A23,'liste reference'!$A$8:$A$904,0)),IF(ISERROR(MATCH(A23,'liste reference'!$B$8:$B$904,0)),"",(MATCH(A23,'liste reference'!$B$8:$B$904,0))),(MATCH(A23,'liste reference'!$A$8:$A$904,0)))</f>
        <v>20</v>
      </c>
      <c r="AA23" s="385"/>
      <c r="AB23" s="372"/>
      <c r="AC23" s="372"/>
      <c r="BB23" s="183">
        <f aca="true" t="shared" si="8" ref="BB23:BB54">IF(A23="","",1)</f>
        <v>1</v>
      </c>
    </row>
    <row r="24" spans="1:54" ht="12.75">
      <c r="A24" s="322" t="s">
        <v>907</v>
      </c>
      <c r="B24" s="241">
        <v>4.1</v>
      </c>
      <c r="C24" s="242"/>
      <c r="D24" s="221" t="str">
        <f>IF(ISERROR(VLOOKUP($A24,'liste reference'!$A$7:$D$904,2,0)),IF(ISERROR(VLOOKUP($A24,'liste reference'!$B$7:$D$904,1,0)),"",VLOOKUP($A24,'liste reference'!$B$7:$D$904,1,0)),VLOOKUP($A24,'liste reference'!$A$7:$D$904,2,0))</f>
        <v>Cladophora sp.</v>
      </c>
      <c r="E24" s="224" t="e">
        <f>IF(D24="",,VLOOKUP(D24,D$22:D23,1,0))</f>
        <v>#N/A</v>
      </c>
      <c r="F24" s="38">
        <f t="shared" si="1"/>
        <v>4.1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4.1</v>
      </c>
      <c r="R24" s="223">
        <f t="shared" si="3"/>
        <v>3</v>
      </c>
      <c r="S24" s="223">
        <f t="shared" si="4"/>
        <v>18</v>
      </c>
      <c r="T24" s="223">
        <f t="shared" si="5"/>
        <v>18</v>
      </c>
      <c r="U24" s="225">
        <f t="shared" si="6"/>
        <v>3</v>
      </c>
      <c r="V24" s="287">
        <f t="shared" si="7"/>
      </c>
      <c r="W24" s="289" t="s">
        <v>1130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927</v>
      </c>
      <c r="B25" s="241">
        <v>5.8</v>
      </c>
      <c r="C25" s="242"/>
      <c r="D25" s="221" t="str">
        <f>IF(ISERROR(VLOOKUP($A25,'liste reference'!$A$7:$D$904,2,0)),IF(ISERROR(VLOOKUP($A25,'liste reference'!$B$7:$D$904,1,0)),"",VLOOKUP($A25,'liste reference'!$B$7:$D$904,1,0)),VLOOKUP($A25,'liste reference'!$A$7:$D$904,2,0))</f>
        <v>Mougeotia sp.</v>
      </c>
      <c r="E25" s="224" t="e">
        <f>IF(D25="",,VLOOKUP(D25,D$22:D24,1,0))</f>
        <v>#N/A</v>
      </c>
      <c r="F25" s="38">
        <f t="shared" si="1"/>
        <v>5.8</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13</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Mougeotia sp.</v>
      </c>
      <c r="L25" s="333"/>
      <c r="M25" s="333"/>
      <c r="N25" s="333"/>
      <c r="O25" s="367"/>
      <c r="P25" s="367">
        <f>IF($A25="NEWCOD",IF($AC25="","No",$AC25),IF(ISTEXT($E25),"DEJA SAISI !",IF($A25="","",IF(ISERROR(VLOOKUP($A25,'liste reference'!A:S,19,FALSE)),IF(ISERROR(VLOOKUP($A25,'liste reference'!B:S,19,FALSE)),"",VLOOKUP($A25,'liste reference'!B:S,19,FALSE)),VLOOKUP($A25,'liste reference'!A:S,19,FALSE)))))</f>
        <v>1146</v>
      </c>
      <c r="Q25" s="222">
        <f t="shared" si="2"/>
        <v>5.8</v>
      </c>
      <c r="R25" s="223">
        <f t="shared" si="3"/>
        <v>3</v>
      </c>
      <c r="S25" s="223">
        <f t="shared" si="4"/>
        <v>39</v>
      </c>
      <c r="T25" s="223">
        <f t="shared" si="5"/>
        <v>78</v>
      </c>
      <c r="U25" s="225">
        <f t="shared" si="6"/>
        <v>6</v>
      </c>
      <c r="V25" s="287">
        <f t="shared" si="7"/>
      </c>
      <c r="W25" s="289" t="s">
        <v>1130</v>
      </c>
      <c r="X25" s="289"/>
      <c r="Y25" s="324" t="str">
        <f>IF(A25="new.cod","NEWCOD",IF(AND((Z25=""),ISTEXT(A25)),A25,IF(Z25="","",INDEX('liste reference'!$A$8:$A$904,Z25))))</f>
        <v>MOUSPX</v>
      </c>
      <c r="Z25" s="183">
        <f>IF(ISERROR(MATCH(A25,'liste reference'!$A$8:$A$904,0)),IF(ISERROR(MATCH(A25,'liste reference'!$B$8:$B$904,0)),"",(MATCH(A25,'liste reference'!$B$8:$B$904,0))),(MATCH(A25,'liste reference'!$A$8:$A$904,0)))</f>
        <v>43</v>
      </c>
      <c r="AA25" s="385"/>
      <c r="AB25" s="372"/>
      <c r="AC25" s="372"/>
      <c r="BB25" s="183">
        <f t="shared" si="8"/>
        <v>1</v>
      </c>
    </row>
    <row r="26" spans="1:54" ht="12.75">
      <c r="A26" s="322" t="s">
        <v>953</v>
      </c>
      <c r="B26" s="241">
        <v>0.3</v>
      </c>
      <c r="C26" s="242"/>
      <c r="D26" s="221" t="str">
        <f>IF(ISERROR(VLOOKUP($A26,'liste reference'!$A$7:$D$904,2,0)),IF(ISERROR(VLOOKUP($A26,'liste reference'!$B$7:$D$904,1,0)),"",VLOOKUP($A26,'liste reference'!$B$7:$D$904,1,0)),VLOOKUP($A26,'liste reference'!$A$7:$D$904,2,0))</f>
        <v>Spirogyra sp.</v>
      </c>
      <c r="E26" s="224" t="e">
        <f>IF(D26="",,VLOOKUP(D26,D$22:D25,1,0))</f>
        <v>#N/A</v>
      </c>
      <c r="F26" s="38">
        <f t="shared" si="1"/>
        <v>0.3</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10</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Spirogyra sp.</v>
      </c>
      <c r="L26" s="333"/>
      <c r="M26" s="333"/>
      <c r="N26" s="333"/>
      <c r="O26" s="367"/>
      <c r="P26" s="367">
        <f>IF($A26="NEWCOD",IF($AC26="","No",$AC26),IF(ISTEXT($E26),"DEJA SAISI !",IF($A26="","",IF(ISERROR(VLOOKUP($A26,'liste reference'!A:S,19,FALSE)),IF(ISERROR(VLOOKUP($A26,'liste reference'!B:S,19,FALSE)),"",VLOOKUP($A26,'liste reference'!B:S,19,FALSE)),VLOOKUP($A26,'liste reference'!A:S,19,FALSE)))))</f>
        <v>1147</v>
      </c>
      <c r="Q26" s="222">
        <f t="shared" si="2"/>
        <v>0.3</v>
      </c>
      <c r="R26" s="223">
        <f t="shared" si="3"/>
        <v>2</v>
      </c>
      <c r="S26" s="223">
        <f t="shared" si="4"/>
        <v>20</v>
      </c>
      <c r="T26" s="223">
        <f t="shared" si="5"/>
        <v>20</v>
      </c>
      <c r="U26" s="225">
        <f t="shared" si="6"/>
        <v>2</v>
      </c>
      <c r="V26" s="287">
        <f t="shared" si="7"/>
      </c>
      <c r="W26" s="289" t="s">
        <v>1130</v>
      </c>
      <c r="Y26" s="324" t="str">
        <f>IF(A26="new.cod","NEWCOD",IF(AND((Z26=""),ISTEXT(A26)),A26,IF(Z26="","",INDEX('liste reference'!$A$8:$A$904,Z26))))</f>
        <v>SPISPX</v>
      </c>
      <c r="Z26" s="183">
        <f>IF(ISERROR(MATCH(A26,'liste reference'!$A$8:$A$904,0)),IF(ISERROR(MATCH(A26,'liste reference'!$B$8:$B$904,0)),"",(MATCH(A26,'liste reference'!$B$8:$B$904,0))),(MATCH(A26,'liste reference'!$A$8:$A$904,0)))</f>
        <v>69</v>
      </c>
      <c r="AA26" s="385"/>
      <c r="AB26" s="372"/>
      <c r="AC26" s="372"/>
      <c r="BB26" s="183">
        <f t="shared" si="8"/>
        <v>1</v>
      </c>
    </row>
    <row r="27" spans="1:54" ht="12.75">
      <c r="A27" s="322" t="s">
        <v>735</v>
      </c>
      <c r="B27" s="241">
        <v>0.02</v>
      </c>
      <c r="C27" s="242"/>
      <c r="D27" s="221" t="str">
        <f>IF(ISERROR(VLOOKUP($A27,'liste reference'!$A$7:$D$904,2,0)),IF(ISERROR(VLOOKUP($A27,'liste reference'!$B$7:$D$904,1,0)),"",VLOOKUP($A27,'liste reference'!$B$7:$D$904,1,0)),VLOOKUP($A27,'liste reference'!$A$7:$D$904,2,0))</f>
        <v>Cinclidotus danubicus</v>
      </c>
      <c r="E27" s="224" t="e">
        <f>IF(D27="",,VLOOKUP(D27,D$22:D26,1,0))</f>
        <v>#N/A</v>
      </c>
      <c r="F27" s="38">
        <f t="shared" si="1"/>
        <v>0.02</v>
      </c>
      <c r="G27" s="507" t="str">
        <f>IF(A27="","",IF(ISERROR(VLOOKUP($A27,'liste reference'!$A$7:$P$904,13,0)),IF(ISERROR(VLOOKUP($A27,'liste reference'!$B$7:$P$904,12,0)),"    -",VLOOKUP($A27,'liste reference'!$B$7:$P$904,12,0)),VLOOKUP($A27,'liste reference'!$A$7:$P$904,13,0)))</f>
        <v>BRm</v>
      </c>
      <c r="H27" s="508">
        <f>IF(A27="","x",IF(ISERROR(VLOOKUP($A27,'liste reference'!$A$8:$P$904,14,0)),IF(ISERROR(VLOOKUP($A27,'liste reference'!$B$8:$P$904,13,0)),"x",VLOOKUP($A27,'liste reference'!$B$8:$P$904,13,0)),VLOOKUP($A27,'liste reference'!$A$8:$P$904,14,0)))</f>
        <v>5</v>
      </c>
      <c r="I27" s="509">
        <f>IF(ISNUMBER(H27),IF(ISERROR(VLOOKUP($A27,'liste reference'!$A$7:$P$904,3,0)),IF(ISERROR(VLOOKUP($A27,'liste reference'!$B$7:$P$904,2,0)),"",VLOOKUP($A27,'liste reference'!$B$7:$P$904,2,0)),VLOOKUP($A27,'liste reference'!$A$7:$P$904,3,0)),"")</f>
        <v>13</v>
      </c>
      <c r="J27" s="509">
        <f>IF(ISNUMBER(H27),IF(ISERROR(VLOOKUP($A27,'liste reference'!$A$7:$P$904,4,0)),IF(ISERROR(VLOOKUP($A27,'liste reference'!$B$7:$P$904,3,0)),"",VLOOKUP($A27,'liste reference'!$B$7:$P$904,3,0)),VLOOKUP($A27,'liste reference'!$A$7:$P$904,4,0)),"")</f>
        <v>3</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Cinclidotus danubicus</v>
      </c>
      <c r="L27" s="333"/>
      <c r="M27" s="333"/>
      <c r="N27" s="333"/>
      <c r="O27" s="367"/>
      <c r="P27" s="367">
        <f>IF($A27="NEWCOD",IF($AC27="","No",$AC27),IF(ISTEXT($E27),"DEJA SAISI !",IF($A27="","",IF(ISERROR(VLOOKUP($A27,'liste reference'!A:S,19,FALSE)),IF(ISERROR(VLOOKUP($A27,'liste reference'!B:S,19,FALSE)),"",VLOOKUP($A27,'liste reference'!B:S,19,FALSE)),VLOOKUP($A27,'liste reference'!A:S,19,FALSE)))))</f>
        <v>1319</v>
      </c>
      <c r="Q27" s="222">
        <f t="shared" si="2"/>
        <v>0.02</v>
      </c>
      <c r="R27" s="223">
        <f t="shared" si="3"/>
        <v>1</v>
      </c>
      <c r="S27" s="223">
        <f t="shared" si="4"/>
        <v>13</v>
      </c>
      <c r="T27" s="223">
        <f t="shared" si="5"/>
        <v>39</v>
      </c>
      <c r="U27" s="225">
        <f t="shared" si="6"/>
        <v>3</v>
      </c>
      <c r="V27" s="287">
        <f t="shared" si="7"/>
      </c>
      <c r="W27" s="289" t="s">
        <v>1130</v>
      </c>
      <c r="Y27" s="324" t="str">
        <f>IF(A27="new.cod","NEWCOD",IF(AND((Z27=""),ISTEXT(A27)),A27,IF(Z27="","",INDEX('liste reference'!$A$8:$A$904,Z27))))</f>
        <v>CINDAN</v>
      </c>
      <c r="Z27" s="183">
        <f>IF(ISERROR(MATCH(A27,'liste reference'!$A$8:$A$904,0)),IF(ISERROR(MATCH(A27,'liste reference'!$B$8:$B$904,0)),"",(MATCH(A27,'liste reference'!$B$8:$B$904,0))),(MATCH(A27,'liste reference'!$A$8:$A$904,0)))</f>
        <v>171</v>
      </c>
      <c r="AA27" s="385"/>
      <c r="AB27" s="372"/>
      <c r="AC27" s="372"/>
      <c r="BB27" s="183">
        <f t="shared" si="8"/>
        <v>1</v>
      </c>
    </row>
    <row r="28" spans="1:54" ht="12.75">
      <c r="A28" s="322" t="s">
        <v>761</v>
      </c>
      <c r="B28" s="241">
        <v>0.005</v>
      </c>
      <c r="C28" s="242"/>
      <c r="D28" s="221" t="str">
        <f>IF(ISERROR(VLOOKUP($A28,'liste reference'!$A$7:$D$904,2,0)),IF(ISERROR(VLOOKUP($A28,'liste reference'!$B$7:$D$904,1,0)),"",VLOOKUP($A28,'liste reference'!$B$7:$D$904,1,0)),VLOOKUP($A28,'liste reference'!$A$7:$D$904,2,0))</f>
        <v>Fissidens crassipes</v>
      </c>
      <c r="E28" s="224" t="e">
        <f>IF(D28="",,VLOOKUP(D28,D$22:D27,1,0))</f>
        <v>#N/A</v>
      </c>
      <c r="F28" s="38">
        <f t="shared" si="1"/>
        <v>0.005</v>
      </c>
      <c r="G28" s="507" t="str">
        <f>IF(A28="","",IF(ISERROR(VLOOKUP($A28,'liste reference'!$A$7:$P$904,13,0)),IF(ISERROR(VLOOKUP($A28,'liste reference'!$B$7:$P$904,12,0)),"    -",VLOOKUP($A28,'liste reference'!$B$7:$P$904,12,0)),VLOOKUP($A28,'liste reference'!$A$7:$P$904,13,0)))</f>
        <v>BRm</v>
      </c>
      <c r="H28" s="508">
        <f>IF(A28="","x",IF(ISERROR(VLOOKUP($A28,'liste reference'!$A$8:$P$904,14,0)),IF(ISERROR(VLOOKUP($A28,'liste reference'!$B$8:$P$904,13,0)),"x",VLOOKUP($A28,'liste reference'!$B$8:$P$904,13,0)),VLOOKUP($A28,'liste reference'!$A$8:$P$904,14,0)))</f>
        <v>5</v>
      </c>
      <c r="I28" s="509">
        <f>IF(ISNUMBER(H28),IF(ISERROR(VLOOKUP($A28,'liste reference'!$A$7:$P$904,3,0)),IF(ISERROR(VLOOKUP($A28,'liste reference'!$B$7:$P$904,2,0)),"",VLOOKUP($A28,'liste reference'!$B$7:$P$904,2,0)),VLOOKUP($A28,'liste reference'!$A$7:$P$904,3,0)),"")</f>
        <v>12</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Fissidens crassipes</v>
      </c>
      <c r="L28" s="333"/>
      <c r="M28" s="333"/>
      <c r="N28" s="333"/>
      <c r="O28" s="367"/>
      <c r="P28" s="367">
        <f>IF($A28="NEWCOD",IF($AC28="","No",$AC28),IF(ISTEXT($E28),"DEJA SAISI !",IF($A28="","",IF(ISERROR(VLOOKUP($A28,'liste reference'!A:S,19,FALSE)),IF(ISERROR(VLOOKUP($A28,'liste reference'!B:S,19,FALSE)),"",VLOOKUP($A28,'liste reference'!B:S,19,FALSE)),VLOOKUP($A28,'liste reference'!A:S,19,FALSE)))))</f>
        <v>1294</v>
      </c>
      <c r="Q28" s="222">
        <f t="shared" si="2"/>
        <v>0.005</v>
      </c>
      <c r="R28" s="223">
        <f t="shared" si="3"/>
        <v>1</v>
      </c>
      <c r="S28" s="223">
        <f t="shared" si="4"/>
        <v>12</v>
      </c>
      <c r="T28" s="223">
        <f t="shared" si="5"/>
        <v>24</v>
      </c>
      <c r="U28" s="225">
        <f t="shared" si="6"/>
        <v>2</v>
      </c>
      <c r="V28" s="287">
        <f t="shared" si="7"/>
      </c>
      <c r="W28" s="289" t="s">
        <v>1130</v>
      </c>
      <c r="Y28" s="324" t="str">
        <f>IF(A28="new.cod","NEWCOD",IF(AND((Z28=""),ISTEXT(A28)),A28,IF(Z28="","",INDEX('liste reference'!$A$8:$A$904,Z28))))</f>
        <v>FISCRA</v>
      </c>
      <c r="Z28" s="183">
        <f>IF(ISERROR(MATCH(A28,'liste reference'!$A$8:$A$904,0)),IF(ISERROR(MATCH(A28,'liste reference'!$B$8:$B$904,0)),"",(MATCH(A28,'liste reference'!$B$8:$B$904,0))),(MATCH(A28,'liste reference'!$A$8:$A$904,0)))</f>
        <v>197</v>
      </c>
      <c r="AA28" s="385"/>
      <c r="AB28" s="372"/>
      <c r="AC28" s="372"/>
      <c r="BB28" s="183">
        <f t="shared" si="8"/>
        <v>1</v>
      </c>
    </row>
    <row r="29" spans="1:54" ht="12.75">
      <c r="A29" s="322" t="s">
        <v>691</v>
      </c>
      <c r="B29" s="241">
        <v>0.01</v>
      </c>
      <c r="C29" s="242"/>
      <c r="D29" s="221" t="str">
        <f>IF(ISERROR(VLOOKUP($A29,'liste reference'!$A$7:$D$904,2,0)),IF(ISERROR(VLOOKUP($A29,'liste reference'!$B$7:$D$904,1,0)),"",VLOOKUP($A29,'liste reference'!$B$7:$D$904,1,0)),VLOOKUP($A29,'liste reference'!$A$7:$D$904,2,0))</f>
        <v>Equisetum arvense</v>
      </c>
      <c r="E29" s="224" t="e">
        <f>IF(D29="",,VLOOKUP(D29,D$22:D28,1,0))</f>
        <v>#N/A</v>
      </c>
      <c r="F29" s="38">
        <f t="shared" si="1"/>
        <v>0.01</v>
      </c>
      <c r="G29" s="507" t="str">
        <f>IF(A29="","",IF(ISERROR(VLOOKUP($A29,'liste reference'!$A$7:$P$904,13,0)),IF(ISERROR(VLOOKUP($A29,'liste reference'!$B$7:$P$904,12,0)),"    -",VLOOKUP($A29,'liste reference'!$B$7:$P$904,12,0)),VLOOKUP($A29,'liste reference'!$A$7:$P$904,13,0)))</f>
        <v>PTE</v>
      </c>
      <c r="H29" s="508">
        <f>IF(A29="","x",IF(ISERROR(VLOOKUP($A29,'liste reference'!$A$8:$P$904,14,0)),IF(ISERROR(VLOOKUP($A29,'liste reference'!$B$8:$P$904,13,0)),"x",VLOOKUP($A29,'liste reference'!$B$8:$P$904,13,0)),VLOOKUP($A29,'liste reference'!$A$8:$P$904,14,0)))</f>
        <v>6</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Equisetum arvense</v>
      </c>
      <c r="L29" s="333"/>
      <c r="M29" s="333"/>
      <c r="N29" s="333"/>
      <c r="O29" s="367"/>
      <c r="P29" s="367">
        <f>IF($A29="NEWCOD",IF($AC29="","No",$AC29),IF(ISTEXT($E29),"DEJA SAISI !",IF($A29="","",IF(ISERROR(VLOOKUP($A29,'liste reference'!A:S,19,FALSE)),IF(ISERROR(VLOOKUP($A29,'liste reference'!B:S,19,FALSE)),"",VLOOKUP($A29,'liste reference'!B:S,19,FALSE)),VLOOKUP($A29,'liste reference'!A:S,19,FALSE)))))</f>
        <v>1384</v>
      </c>
      <c r="Q29" s="222">
        <f t="shared" si="2"/>
        <v>0.01</v>
      </c>
      <c r="R29" s="223">
        <f t="shared" si="3"/>
        <v>1</v>
      </c>
      <c r="S29" s="223">
        <f t="shared" si="4"/>
        <v>0</v>
      </c>
      <c r="T29" s="223">
        <f t="shared" si="5"/>
        <v>0</v>
      </c>
      <c r="U29" s="225">
        <f t="shared" si="6"/>
        <v>0</v>
      </c>
      <c r="V29" s="287">
        <f t="shared" si="7"/>
      </c>
      <c r="W29" s="289" t="s">
        <v>1130</v>
      </c>
      <c r="Y29" s="324" t="str">
        <f>IF(A29="new.cod","NEWCOD",IF(AND((Z29=""),ISTEXT(A29)),A29,IF(Z29="","",INDEX('liste reference'!$A$8:$A$904,Z29))))</f>
        <v>EQUARV</v>
      </c>
      <c r="Z29" s="183">
        <f>IF(ISERROR(MATCH(A29,'liste reference'!$A$8:$A$904,0)),IF(ISERROR(MATCH(A29,'liste reference'!$B$8:$B$904,0)),"",(MATCH(A29,'liste reference'!$B$8:$B$904,0))),(MATCH(A29,'liste reference'!$A$8:$A$904,0)))</f>
        <v>278</v>
      </c>
      <c r="AA29" s="385"/>
      <c r="AB29" s="372"/>
      <c r="AC29" s="372"/>
      <c r="BB29" s="183">
        <f t="shared" si="8"/>
        <v>1</v>
      </c>
    </row>
    <row r="30" spans="1:54" ht="12.75">
      <c r="A30" s="322" t="s">
        <v>551</v>
      </c>
      <c r="B30" s="241">
        <v>3</v>
      </c>
      <c r="C30" s="242"/>
      <c r="D30" s="221" t="str">
        <f>IF(ISERROR(VLOOKUP($A30,'liste reference'!$A$7:$D$904,2,0)),IF(ISERROR(VLOOKUP($A30,'liste reference'!$B$7:$D$904,1,0)),"",VLOOKUP($A30,'liste reference'!$B$7:$D$904,1,0)),VLOOKUP($A30,'liste reference'!$A$7:$D$904,2,0))</f>
        <v>Elodea canadensis</v>
      </c>
      <c r="E30" s="224" t="e">
        <f>IF(D30="",,VLOOKUP(D30,D$22:D29,1,0))</f>
        <v>#N/A</v>
      </c>
      <c r="F30" s="38">
        <f t="shared" si="1"/>
        <v>3</v>
      </c>
      <c r="G30" s="507" t="str">
        <f>IF(A30="","",IF(ISERROR(VLOOKUP($A30,'liste reference'!$A$7:$P$904,13,0)),IF(ISERROR(VLOOKUP($A30,'liste reference'!$B$7:$P$904,12,0)),"    -",VLOOKUP($A30,'liste reference'!$B$7:$P$904,12,0)),VLOOKUP($A30,'liste reference'!$A$7:$P$904,13,0)))</f>
        <v>PHy</v>
      </c>
      <c r="H30" s="508">
        <f>IF(A30="","x",IF(ISERROR(VLOOKUP($A30,'liste reference'!$A$8:$P$904,14,0)),IF(ISERROR(VLOOKUP($A30,'liste reference'!$B$8:$P$904,13,0)),"x",VLOOKUP($A30,'liste reference'!$B$8:$P$904,13,0)),VLOOKUP($A30,'liste reference'!$A$8:$P$904,14,0)))</f>
        <v>7</v>
      </c>
      <c r="I30" s="509">
        <f>IF(ISNUMBER(H30),IF(ISERROR(VLOOKUP($A30,'liste reference'!$A$7:$P$904,3,0)),IF(ISERROR(VLOOKUP($A30,'liste reference'!$B$7:$P$904,2,0)),"",VLOOKUP($A30,'liste reference'!$B$7:$P$904,2,0)),VLOOKUP($A30,'liste reference'!$A$7:$P$904,3,0)),"")</f>
        <v>10</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Elodea canadensis</v>
      </c>
      <c r="L30" s="333"/>
      <c r="M30" s="333"/>
      <c r="N30" s="333"/>
      <c r="O30" s="367"/>
      <c r="P30" s="367">
        <f>IF($A30="NEWCOD",IF($AC30="","No",$AC30),IF(ISTEXT($E30),"DEJA SAISI !",IF($A30="","",IF(ISERROR(VLOOKUP($A30,'liste reference'!A:S,19,FALSE)),IF(ISERROR(VLOOKUP($A30,'liste reference'!B:S,19,FALSE)),"",VLOOKUP($A30,'liste reference'!B:S,19,FALSE)),VLOOKUP($A30,'liste reference'!A:S,19,FALSE)))))</f>
        <v>1586</v>
      </c>
      <c r="Q30" s="222">
        <f t="shared" si="2"/>
        <v>3</v>
      </c>
      <c r="R30" s="223">
        <f t="shared" si="3"/>
        <v>3</v>
      </c>
      <c r="S30" s="223">
        <f t="shared" si="4"/>
        <v>30</v>
      </c>
      <c r="T30" s="223">
        <f t="shared" si="5"/>
        <v>60</v>
      </c>
      <c r="U30" s="225">
        <f t="shared" si="6"/>
        <v>6</v>
      </c>
      <c r="V30" s="287">
        <f t="shared" si="7"/>
      </c>
      <c r="W30" s="289" t="s">
        <v>1130</v>
      </c>
      <c r="Y30" s="324" t="str">
        <f>IF(A30="new.cod","NEWCOD",IF(AND((Z30=""),ISTEXT(A30)),A30,IF(Z30="","",INDEX('liste reference'!$A$8:$A$904,Z30))))</f>
        <v>ELOCAN</v>
      </c>
      <c r="Z30" s="183">
        <f>IF(ISERROR(MATCH(A30,'liste reference'!$A$8:$A$904,0)),IF(ISERROR(MATCH(A30,'liste reference'!$B$8:$B$904,0)),"",(MATCH(A30,'liste reference'!$B$8:$B$904,0))),(MATCH(A30,'liste reference'!$A$8:$A$904,0)))</f>
        <v>341</v>
      </c>
      <c r="AA30" s="385"/>
      <c r="AB30" s="372"/>
      <c r="AC30" s="372"/>
      <c r="BB30" s="183">
        <f t="shared" si="8"/>
        <v>1</v>
      </c>
    </row>
    <row r="31" spans="1:54" ht="12.75">
      <c r="A31" s="322" t="s">
        <v>568</v>
      </c>
      <c r="B31" s="241">
        <v>0.01</v>
      </c>
      <c r="C31" s="242"/>
      <c r="D31" s="221" t="str">
        <f>IF(ISERROR(VLOOKUP($A31,'liste reference'!$A$7:$D$904,2,0)),IF(ISERROR(VLOOKUP($A31,'liste reference'!$B$7:$D$904,1,0)),"",VLOOKUP($A31,'liste reference'!$B$7:$D$904,1,0)),VLOOKUP($A31,'liste reference'!$A$7:$D$904,2,0))</f>
        <v>Lemna minuscula</v>
      </c>
      <c r="E31" s="224" t="e">
        <f>IF(D31="",,VLOOKUP(D31,D$22:D30,1,0))</f>
        <v>#N/A</v>
      </c>
      <c r="F31" s="38">
        <f t="shared" si="1"/>
        <v>0.01</v>
      </c>
      <c r="G31" s="507" t="str">
        <f>IF(A31="","",IF(ISERROR(VLOOKUP($A31,'liste reference'!$A$7:$P$904,13,0)),IF(ISERROR(VLOOKUP($A31,'liste reference'!$B$7:$P$904,12,0)),"    -",VLOOKUP($A31,'liste reference'!$B$7:$P$904,12,0)),VLOOKUP($A31,'liste reference'!$A$7:$P$904,13,0)))</f>
        <v>PHy</v>
      </c>
      <c r="H31" s="508">
        <f>IF(A31="","x",IF(ISERROR(VLOOKUP($A31,'liste reference'!$A$8:$P$904,14,0)),IF(ISERROR(VLOOKUP($A31,'liste reference'!$B$8:$P$904,13,0)),"x",VLOOKUP($A31,'liste reference'!$B$8:$P$904,13,0)),VLOOKUP($A31,'liste reference'!$A$8:$P$904,14,0)))</f>
        <v>7</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Lemna minuscula</v>
      </c>
      <c r="L31" s="333"/>
      <c r="M31" s="333"/>
      <c r="N31" s="333"/>
      <c r="O31" s="367" t="s">
        <v>1147</v>
      </c>
      <c r="P31" s="367">
        <f>IF($A31="NEWCOD",IF($AC31="","No",$AC31),IF(ISTEXT($E31),"DEJA SAISI !",IF($A31="","",IF(ISERROR(VLOOKUP($A31,'liste reference'!A:S,19,FALSE)),IF(ISERROR(VLOOKUP($A31,'liste reference'!B:S,19,FALSE)),"",VLOOKUP($A31,'liste reference'!B:S,19,FALSE)),VLOOKUP($A31,'liste reference'!A:S,19,FALSE)))))</f>
        <v>1627</v>
      </c>
      <c r="Q31" s="222">
        <f t="shared" si="2"/>
        <v>0.01</v>
      </c>
      <c r="R31" s="223">
        <f t="shared" si="3"/>
        <v>1</v>
      </c>
      <c r="S31" s="223">
        <f t="shared" si="4"/>
        <v>0</v>
      </c>
      <c r="T31" s="223">
        <f t="shared" si="5"/>
        <v>0</v>
      </c>
      <c r="U31" s="225">
        <f t="shared" si="6"/>
        <v>0</v>
      </c>
      <c r="V31" s="287">
        <f t="shared" si="7"/>
      </c>
      <c r="W31" s="289" t="s">
        <v>1130</v>
      </c>
      <c r="Y31" s="324" t="str">
        <f>IF(A31="new.cod","NEWCOD",IF(AND((Z31=""),ISTEXT(A31)),A31,IF(Z31="","",INDEX('liste reference'!$A$8:$A$904,Z31))))</f>
        <v>LEMMIU</v>
      </c>
      <c r="Z31" s="183">
        <f>IF(ISERROR(MATCH(A31,'liste reference'!$A$8:$A$904,0)),IF(ISERROR(MATCH(A31,'liste reference'!$B$8:$B$904,0)),"",(MATCH(A31,'liste reference'!$B$8:$B$904,0))),(MATCH(A31,'liste reference'!$A$8:$A$904,0)))</f>
        <v>358</v>
      </c>
      <c r="AA31" s="385" t="s">
        <v>1147</v>
      </c>
      <c r="AB31" s="372"/>
      <c r="AC31" s="372"/>
      <c r="BB31" s="183">
        <f t="shared" si="8"/>
        <v>1</v>
      </c>
    </row>
    <row r="32" spans="1:54" ht="12.75">
      <c r="A32" s="322" t="s">
        <v>570</v>
      </c>
      <c r="B32" s="241">
        <v>0.005</v>
      </c>
      <c r="C32" s="242"/>
      <c r="D32" s="221" t="str">
        <f>IF(ISERROR(VLOOKUP($A32,'liste reference'!$A$7:$D$904,2,0)),IF(ISERROR(VLOOKUP($A32,'liste reference'!$B$7:$D$904,1,0)),"",VLOOKUP($A32,'liste reference'!$B$7:$D$904,1,0)),VLOOKUP($A32,'liste reference'!$A$7:$D$904,2,0))</f>
        <v>Lemna trisulca</v>
      </c>
      <c r="E32" s="224" t="e">
        <f>IF(D32="",,VLOOKUP(D32,D$22:D25,1,0))</f>
        <v>#N/A</v>
      </c>
      <c r="F32" s="38">
        <f t="shared" si="1"/>
        <v>0.005</v>
      </c>
      <c r="G32" s="507" t="str">
        <f>IF(A32="","",IF(ISERROR(VLOOKUP($A32,'liste reference'!$A$7:$P$904,13,0)),IF(ISERROR(VLOOKUP($A32,'liste reference'!$B$7:$P$904,12,0)),"    -",VLOOKUP($A32,'liste reference'!$B$7:$P$904,12,0)),VLOOKUP($A32,'liste reference'!$A$7:$P$904,13,0)))</f>
        <v>PHy</v>
      </c>
      <c r="H32" s="508">
        <f>IF(A32="","x",IF(ISERROR(VLOOKUP($A32,'liste reference'!$A$8:$P$904,14,0)),IF(ISERROR(VLOOKUP($A32,'liste reference'!$B$8:$P$904,13,0)),"x",VLOOKUP($A32,'liste reference'!$B$8:$P$904,13,0)),VLOOKUP($A32,'liste reference'!$A$8:$P$904,14,0)))</f>
        <v>7</v>
      </c>
      <c r="I32" s="509">
        <f>IF(ISNUMBER(H32),IF(ISERROR(VLOOKUP($A32,'liste reference'!$A$7:$P$904,3,0)),IF(ISERROR(VLOOKUP($A32,'liste reference'!$B$7:$P$904,2,0)),"",VLOOKUP($A32,'liste reference'!$B$7:$P$904,2,0)),VLOOKUP($A32,'liste reference'!$A$7:$P$904,3,0)),"")</f>
        <v>12</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Lemna trisulca</v>
      </c>
      <c r="L32" s="333"/>
      <c r="M32" s="333"/>
      <c r="N32" s="333"/>
      <c r="O32" s="367"/>
      <c r="P32" s="367">
        <f>IF($A32="NEWCOD",IF($AC32="","No",$AC32),IF(ISTEXT($E32),"DEJA SAISI !",IF($A32="","",IF(ISERROR(VLOOKUP($A32,'liste reference'!A:S,19,FALSE)),IF(ISERROR(VLOOKUP($A32,'liste reference'!B:S,19,FALSE)),"",VLOOKUP($A32,'liste reference'!B:S,19,FALSE)),VLOOKUP($A32,'liste reference'!A:S,19,FALSE)))))</f>
        <v>1628</v>
      </c>
      <c r="Q32" s="222">
        <f t="shared" si="2"/>
        <v>0.005</v>
      </c>
      <c r="R32" s="223">
        <f t="shared" si="3"/>
        <v>1</v>
      </c>
      <c r="S32" s="223">
        <f t="shared" si="4"/>
        <v>12</v>
      </c>
      <c r="T32" s="223">
        <f t="shared" si="5"/>
        <v>24</v>
      </c>
      <c r="U32" s="225">
        <f t="shared" si="6"/>
        <v>2</v>
      </c>
      <c r="V32" s="287">
        <f t="shared" si="7"/>
      </c>
      <c r="W32" s="289" t="s">
        <v>1130</v>
      </c>
      <c r="Y32" s="324" t="str">
        <f>IF(A32="new.cod","NEWCOD",IF(AND((Z32=""),ISTEXT(A32)),A32,IF(Z32="","",INDEX('liste reference'!$A$8:$A$904,Z32))))</f>
        <v>LEMTRI</v>
      </c>
      <c r="Z32" s="183">
        <f>IF(ISERROR(MATCH(A32,'liste reference'!$A$8:$A$904,0)),IF(ISERROR(MATCH(A32,'liste reference'!$B$8:$B$904,0)),"",(MATCH(A32,'liste reference'!$B$8:$B$904,0))),(MATCH(A32,'liste reference'!$A$8:$A$904,0)))</f>
        <v>360</v>
      </c>
      <c r="AA32" s="385"/>
      <c r="AB32" s="372"/>
      <c r="AC32" s="372"/>
      <c r="BB32" s="183">
        <f t="shared" si="8"/>
        <v>1</v>
      </c>
    </row>
    <row r="33" spans="1:54" ht="12.75">
      <c r="A33" s="322" t="s">
        <v>583</v>
      </c>
      <c r="B33" s="241">
        <v>0.4</v>
      </c>
      <c r="C33" s="242"/>
      <c r="D33" s="221" t="str">
        <f>IF(ISERROR(VLOOKUP($A33,'liste reference'!$A$7:$D$904,2,0)),IF(ISERROR(VLOOKUP($A33,'liste reference'!$B$7:$D$904,1,0)),"",VLOOKUP($A33,'liste reference'!$B$7:$D$904,1,0)),VLOOKUP($A33,'liste reference'!$A$7:$D$904,2,0))</f>
        <v>Myriophyllum spicatum</v>
      </c>
      <c r="E33" s="224" t="e">
        <f>IF(D33="",,VLOOKUP(D33,D$22:D32,1,0))</f>
        <v>#N/A</v>
      </c>
      <c r="F33" s="38">
        <f t="shared" si="1"/>
        <v>0.4</v>
      </c>
      <c r="G33" s="507" t="str">
        <f>IF(A33="","",IF(ISERROR(VLOOKUP($A33,'liste reference'!$A$7:$P$904,13,0)),IF(ISERROR(VLOOKUP($A33,'liste reference'!$B$7:$P$904,12,0)),"    -",VLOOKUP($A33,'liste reference'!$B$7:$P$904,12,0)),VLOOKUP($A33,'liste reference'!$A$7:$P$904,13,0)))</f>
        <v>PHy</v>
      </c>
      <c r="H33" s="508">
        <f>IF(A33="","x",IF(ISERROR(VLOOKUP($A33,'liste reference'!$A$8:$P$904,14,0)),IF(ISERROR(VLOOKUP($A33,'liste reference'!$B$8:$P$904,13,0)),"x",VLOOKUP($A33,'liste reference'!$B$8:$P$904,13,0)),VLOOKUP($A33,'liste reference'!$A$8:$P$904,14,0)))</f>
        <v>7</v>
      </c>
      <c r="I33" s="509">
        <f>IF(ISNUMBER(H33),IF(ISERROR(VLOOKUP($A33,'liste reference'!$A$7:$P$904,3,0)),IF(ISERROR(VLOOKUP($A33,'liste reference'!$B$7:$P$904,2,0)),"",VLOOKUP($A33,'liste reference'!$B$7:$P$904,2,0)),VLOOKUP($A33,'liste reference'!$A$7:$P$904,3,0)),"")</f>
        <v>8</v>
      </c>
      <c r="J33" s="509">
        <f>IF(ISNUMBER(H33),IF(ISERROR(VLOOKUP($A33,'liste reference'!$A$7:$P$904,4,0)),IF(ISERROR(VLOOKUP($A33,'liste reference'!$B$7:$P$904,3,0)),"",VLOOKUP($A33,'liste reference'!$B$7:$P$904,3,0)),VLOOKUP($A33,'liste reference'!$A$7:$P$904,4,0)),"")</f>
        <v>2</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Myriophyllum spicatum</v>
      </c>
      <c r="L33" s="333"/>
      <c r="M33" s="333"/>
      <c r="N33" s="333"/>
      <c r="O33" s="367"/>
      <c r="P33" s="367">
        <f>IF($A33="NEWCOD",IF($AC33="","No",$AC33),IF(ISTEXT($E33),"DEJA SAISI !",IF($A33="","",IF(ISERROR(VLOOKUP($A33,'liste reference'!A:S,19,FALSE)),IF(ISERROR(VLOOKUP($A33,'liste reference'!B:S,19,FALSE)),"",VLOOKUP($A33,'liste reference'!B:S,19,FALSE)),VLOOKUP($A33,'liste reference'!A:S,19,FALSE)))))</f>
        <v>1778</v>
      </c>
      <c r="Q33" s="222">
        <f t="shared" si="2"/>
        <v>0.4</v>
      </c>
      <c r="R33" s="223">
        <f t="shared" si="3"/>
        <v>2</v>
      </c>
      <c r="S33" s="223">
        <f t="shared" si="4"/>
        <v>16</v>
      </c>
      <c r="T33" s="223">
        <f t="shared" si="5"/>
        <v>32</v>
      </c>
      <c r="U33" s="225">
        <f t="shared" si="6"/>
        <v>4</v>
      </c>
      <c r="V33" s="287">
        <f t="shared" si="7"/>
      </c>
      <c r="W33" s="289" t="s">
        <v>1130</v>
      </c>
      <c r="Y33" s="324" t="str">
        <f>IF(A33="new.cod","NEWCOD",IF(AND((Z33=""),ISTEXT(A33)),A33,IF(Z33="","",INDEX('liste reference'!$A$8:$A$904,Z33))))</f>
        <v>MYRSPI</v>
      </c>
      <c r="Z33" s="183">
        <f>IF(ISERROR(MATCH(A33,'liste reference'!$A$8:$A$904,0)),IF(ISERROR(MATCH(A33,'liste reference'!$B$8:$B$904,0)),"",(MATCH(A33,'liste reference'!$B$8:$B$904,0))),(MATCH(A33,'liste reference'!$A$8:$A$904,0)))</f>
        <v>373</v>
      </c>
      <c r="AA33" s="385"/>
      <c r="AB33" s="372"/>
      <c r="AC33" s="372"/>
      <c r="BB33" s="183">
        <f t="shared" si="8"/>
        <v>1</v>
      </c>
    </row>
    <row r="34" spans="1:54" ht="12.75">
      <c r="A34" s="322" t="s">
        <v>622</v>
      </c>
      <c r="B34" s="241">
        <v>11</v>
      </c>
      <c r="C34" s="242"/>
      <c r="D34" s="221" t="str">
        <f>IF(ISERROR(VLOOKUP($A34,'liste reference'!$A$7:$D$904,2,0)),IF(ISERROR(VLOOKUP($A34,'liste reference'!$B$7:$D$904,1,0)),"",VLOOKUP($A34,'liste reference'!$B$7:$D$904,1,0)),VLOOKUP($A34,'liste reference'!$A$7:$D$904,2,0))</f>
        <v>Potamogeton nodosus</v>
      </c>
      <c r="E34" s="224" t="e">
        <f>IF(D34="",,VLOOKUP(D34,D$22:D33,1,0))</f>
        <v>#N/A</v>
      </c>
      <c r="F34" s="39">
        <f t="shared" si="1"/>
        <v>11</v>
      </c>
      <c r="G34" s="507" t="str">
        <f>IF(A34="","",IF(ISERROR(VLOOKUP($A34,'liste reference'!$A$7:$P$904,13,0)),IF(ISERROR(VLOOKUP($A34,'liste reference'!$B$7:$P$904,12,0)),"    -",VLOOKUP($A34,'liste reference'!$B$7:$P$904,12,0)),VLOOKUP($A34,'liste reference'!$A$7:$P$904,13,0)))</f>
        <v>PHy</v>
      </c>
      <c r="H34" s="508">
        <f>IF(A34="","x",IF(ISERROR(VLOOKUP($A34,'liste reference'!$A$8:$P$904,14,0)),IF(ISERROR(VLOOKUP($A34,'liste reference'!$B$8:$P$904,13,0)),"x",VLOOKUP($A34,'liste reference'!$B$8:$P$904,13,0)),VLOOKUP($A34,'liste reference'!$A$8:$P$904,14,0)))</f>
        <v>7</v>
      </c>
      <c r="I34" s="509">
        <f>IF(ISNUMBER(H34),IF(ISERROR(VLOOKUP($A34,'liste reference'!$A$7:$P$904,3,0)),IF(ISERROR(VLOOKUP($A34,'liste reference'!$B$7:$P$904,2,0)),"",VLOOKUP($A34,'liste reference'!$B$7:$P$904,2,0)),VLOOKUP($A34,'liste reference'!$A$7:$P$904,3,0)),"")</f>
        <v>4</v>
      </c>
      <c r="J34" s="509">
        <f>IF(ISNUMBER(H34),IF(ISERROR(VLOOKUP($A34,'liste reference'!$A$7:$P$904,4,0)),IF(ISERROR(VLOOKUP($A34,'liste reference'!$B$7:$P$904,3,0)),"",VLOOKUP($A34,'liste reference'!$B$7:$P$904,3,0)),VLOOKUP($A34,'liste reference'!$A$7:$P$904,4,0)),"")</f>
        <v>3</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Potamogeton nodosus</v>
      </c>
      <c r="L34" s="333"/>
      <c r="M34" s="333"/>
      <c r="N34" s="333"/>
      <c r="O34" s="367"/>
      <c r="P34" s="367">
        <f>IF($A34="NEWCOD",IF($AC34="","No",$AC34),IF(ISTEXT($E34),"DEJA SAISI !",IF($A34="","",IF(ISERROR(VLOOKUP($A34,'liste reference'!A:S,19,FALSE)),IF(ISERROR(VLOOKUP($A34,'liste reference'!B:S,19,FALSE)),"",VLOOKUP($A34,'liste reference'!B:S,19,FALSE)),VLOOKUP($A34,'liste reference'!A:S,19,FALSE)))))</f>
        <v>1652</v>
      </c>
      <c r="Q34" s="222">
        <f t="shared" si="2"/>
        <v>11</v>
      </c>
      <c r="R34" s="223">
        <f t="shared" si="3"/>
        <v>4</v>
      </c>
      <c r="S34" s="223">
        <f t="shared" si="4"/>
        <v>16</v>
      </c>
      <c r="T34" s="223">
        <f t="shared" si="5"/>
        <v>48</v>
      </c>
      <c r="U34" s="225">
        <f t="shared" si="6"/>
        <v>12</v>
      </c>
      <c r="V34" s="287">
        <f t="shared" si="7"/>
      </c>
      <c r="W34" s="289" t="s">
        <v>1130</v>
      </c>
      <c r="Y34" s="324" t="str">
        <f>IF(A34="new.cod","NEWCOD",IF(AND((Z34=""),ISTEXT(A34)),A34,IF(Z34="","",INDEX('liste reference'!$A$8:$A$904,Z34))))</f>
        <v>POTNOD</v>
      </c>
      <c r="Z34" s="183">
        <f>IF(ISERROR(MATCH(A34,'liste reference'!$A$8:$A$904,0)),IF(ISERROR(MATCH(A34,'liste reference'!$B$8:$B$904,0)),"",(MATCH(A34,'liste reference'!$B$8:$B$904,0))),(MATCH(A34,'liste reference'!$A$8:$A$904,0)))</f>
        <v>418</v>
      </c>
      <c r="AA34" s="385"/>
      <c r="AB34" s="372"/>
      <c r="AC34" s="372"/>
      <c r="BB34" s="183">
        <f t="shared" si="8"/>
        <v>1</v>
      </c>
    </row>
    <row r="35" spans="1:54" ht="12.75">
      <c r="A35" s="322" t="s">
        <v>624</v>
      </c>
      <c r="B35" s="241">
        <v>1</v>
      </c>
      <c r="C35" s="242"/>
      <c r="D35" s="221" t="str">
        <f>IF(ISERROR(VLOOKUP($A35,'liste reference'!$A$7:$D$904,2,0)),IF(ISERROR(VLOOKUP($A35,'liste reference'!$B$7:$D$904,1,0)),"",VLOOKUP($A35,'liste reference'!$B$7:$D$904,1,0)),VLOOKUP($A35,'liste reference'!$A$7:$D$904,2,0))</f>
        <v>Potamogeton panormitanus</v>
      </c>
      <c r="E35" s="224" t="e">
        <f>IF(D35="",,VLOOKUP(D35,D$22:D34,1,0))</f>
        <v>#N/A</v>
      </c>
      <c r="F35" s="39">
        <f t="shared" si="1"/>
        <v>1</v>
      </c>
      <c r="G35" s="507" t="str">
        <f>IF(A35="","",IF(ISERROR(VLOOKUP($A35,'liste reference'!$A$7:$P$904,13,0)),IF(ISERROR(VLOOKUP($A35,'liste reference'!$B$7:$P$904,12,0)),"    -",VLOOKUP($A35,'liste reference'!$B$7:$P$904,12,0)),VLOOKUP($A35,'liste reference'!$A$7:$P$904,13,0)))</f>
        <v>PHy</v>
      </c>
      <c r="H35" s="508">
        <f>IF(A35="","x",IF(ISERROR(VLOOKUP($A35,'liste reference'!$A$8:$P$904,14,0)),IF(ISERROR(VLOOKUP($A35,'liste reference'!$B$8:$P$904,13,0)),"x",VLOOKUP($A35,'liste reference'!$B$8:$P$904,13,0)),VLOOKUP($A35,'liste reference'!$A$8:$P$904,14,0)))</f>
        <v>7</v>
      </c>
      <c r="I35" s="509">
        <f>IF(ISNUMBER(H35),IF(ISERROR(VLOOKUP($A35,'liste reference'!$A$7:$P$904,3,0)),IF(ISERROR(VLOOKUP($A35,'liste reference'!$B$7:$P$904,2,0)),"",VLOOKUP($A35,'liste reference'!$B$7:$P$904,2,0)),VLOOKUP($A35,'liste reference'!$A$7:$P$904,3,0)),"")</f>
        <v>9</v>
      </c>
      <c r="J35" s="509">
        <f>IF(ISNUMBER(H35),IF(ISERROR(VLOOKUP($A35,'liste reference'!$A$7:$P$904,4,0)),IF(ISERROR(VLOOKUP($A35,'liste reference'!$B$7:$P$904,3,0)),"",VLOOKUP($A35,'liste reference'!$B$7:$P$904,3,0)),VLOOKUP($A35,'liste reference'!$A$7:$P$904,4,0)),"")</f>
        <v>2</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Potamogeton panormitanus</v>
      </c>
      <c r="L35" s="333"/>
      <c r="M35" s="333"/>
      <c r="N35" s="333"/>
      <c r="O35" s="367"/>
      <c r="P35" s="367">
        <f>IF($A35="NEWCOD",IF($AC35="","No",$AC35),IF(ISTEXT($E35),"DEJA SAISI !",IF($A35="","",IF(ISERROR(VLOOKUP($A35,'liste reference'!A:S,19,FALSE)),IF(ISERROR(VLOOKUP($A35,'liste reference'!B:S,19,FALSE)),"",VLOOKUP($A35,'liste reference'!B:S,19,FALSE)),VLOOKUP($A35,'liste reference'!A:S,19,FALSE)))))</f>
        <v>1654</v>
      </c>
      <c r="Q35" s="222">
        <f t="shared" si="2"/>
        <v>1</v>
      </c>
      <c r="R35" s="223">
        <f t="shared" si="3"/>
        <v>3</v>
      </c>
      <c r="S35" s="223">
        <f t="shared" si="4"/>
        <v>27</v>
      </c>
      <c r="T35" s="223">
        <f t="shared" si="5"/>
        <v>54</v>
      </c>
      <c r="U35" s="225">
        <f t="shared" si="6"/>
        <v>6</v>
      </c>
      <c r="V35" s="287">
        <f t="shared" si="7"/>
      </c>
      <c r="W35" s="289" t="s">
        <v>1130</v>
      </c>
      <c r="Y35" s="324" t="str">
        <f>IF(A35="new.cod","NEWCOD",IF(AND((Z35=""),ISTEXT(A35)),A35,IF(Z35="","",INDEX('liste reference'!$A$8:$A$904,Z35))))</f>
        <v>POTPAN</v>
      </c>
      <c r="Z35" s="183">
        <f>IF(ISERROR(MATCH(A35,'liste reference'!$A$8:$A$904,0)),IF(ISERROR(MATCH(A35,'liste reference'!$B$8:$B$904,0)),"",(MATCH(A35,'liste reference'!$B$8:$B$904,0))),(MATCH(A35,'liste reference'!$A$8:$A$904,0)))</f>
        <v>420</v>
      </c>
      <c r="AA35" s="385"/>
      <c r="AB35" s="372"/>
      <c r="AC35" s="372"/>
      <c r="BB35" s="183">
        <f t="shared" si="8"/>
        <v>1</v>
      </c>
    </row>
    <row r="36" spans="1:54" ht="12.75">
      <c r="A36" s="322" t="s">
        <v>625</v>
      </c>
      <c r="B36" s="241">
        <v>34</v>
      </c>
      <c r="C36" s="242"/>
      <c r="D36" s="221" t="str">
        <f>IF(ISERROR(VLOOKUP($A36,'liste reference'!$A$7:$D$904,2,0)),IF(ISERROR(VLOOKUP($A36,'liste reference'!$B$7:$D$904,1,0)),"",VLOOKUP($A36,'liste reference'!$B$7:$D$904,1,0)),VLOOKUP($A36,'liste reference'!$A$7:$D$904,2,0))</f>
        <v>Potamogeton pectinatus</v>
      </c>
      <c r="E36" s="224" t="e">
        <f>IF(D36="",,VLOOKUP(D36,D$22:D35,1,0))</f>
        <v>#N/A</v>
      </c>
      <c r="F36" s="39">
        <f t="shared" si="1"/>
        <v>34</v>
      </c>
      <c r="G36" s="507" t="str">
        <f>IF(A36="","",IF(ISERROR(VLOOKUP($A36,'liste reference'!$A$7:$P$904,13,0)),IF(ISERROR(VLOOKUP($A36,'liste reference'!$B$7:$P$904,12,0)),"    -",VLOOKUP($A36,'liste reference'!$B$7:$P$904,12,0)),VLOOKUP($A36,'liste reference'!$A$7:$P$904,13,0)))</f>
        <v>PHy</v>
      </c>
      <c r="H36" s="508">
        <f>IF(A36="","x",IF(ISERROR(VLOOKUP($A36,'liste reference'!$A$8:$P$904,14,0)),IF(ISERROR(VLOOKUP($A36,'liste reference'!$B$8:$P$904,13,0)),"x",VLOOKUP($A36,'liste reference'!$B$8:$P$904,13,0)),VLOOKUP($A36,'liste reference'!$A$8:$P$904,14,0)))</f>
        <v>7</v>
      </c>
      <c r="I36" s="509">
        <f>IF(ISNUMBER(H36),IF(ISERROR(VLOOKUP($A36,'liste reference'!$A$7:$P$904,3,0)),IF(ISERROR(VLOOKUP($A36,'liste reference'!$B$7:$P$904,2,0)),"",VLOOKUP($A36,'liste reference'!$B$7:$P$904,2,0)),VLOOKUP($A36,'liste reference'!$A$7:$P$904,3,0)),"")</f>
        <v>2</v>
      </c>
      <c r="J36" s="509">
        <f>IF(ISNUMBER(H36),IF(ISERROR(VLOOKUP($A36,'liste reference'!$A$7:$P$904,4,0)),IF(ISERROR(VLOOKUP($A36,'liste reference'!$B$7:$P$904,3,0)),"",VLOOKUP($A36,'liste reference'!$B$7:$P$904,3,0)),VLOOKUP($A36,'liste reference'!$A$7:$P$904,4,0)),"")</f>
        <v>2</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Potamogeton pectinatus</v>
      </c>
      <c r="L36" s="333"/>
      <c r="M36" s="333"/>
      <c r="N36" s="333"/>
      <c r="O36" s="367"/>
      <c r="P36" s="367">
        <f>IF($A36="NEWCOD",IF($AC36="","No",$AC36),IF(ISTEXT($E36),"DEJA SAISI !",IF($A36="","",IF(ISERROR(VLOOKUP($A36,'liste reference'!A:S,19,FALSE)),IF(ISERROR(VLOOKUP($A36,'liste reference'!B:S,19,FALSE)),"",VLOOKUP($A36,'liste reference'!B:S,19,FALSE)),VLOOKUP($A36,'liste reference'!A:S,19,FALSE)))))</f>
        <v>1655</v>
      </c>
      <c r="Q36" s="222">
        <f t="shared" si="2"/>
        <v>34</v>
      </c>
      <c r="R36" s="223">
        <f t="shared" si="3"/>
        <v>4</v>
      </c>
      <c r="S36" s="223">
        <f t="shared" si="4"/>
        <v>8</v>
      </c>
      <c r="T36" s="223">
        <f t="shared" si="5"/>
        <v>16</v>
      </c>
      <c r="U36" s="225">
        <f t="shared" si="6"/>
        <v>8</v>
      </c>
      <c r="V36" s="287">
        <f t="shared" si="7"/>
      </c>
      <c r="W36" s="290" t="s">
        <v>1130</v>
      </c>
      <c r="Y36" s="324" t="str">
        <f>IF(A36="new.cod","NEWCOD",IF(AND((Z36=""),ISTEXT(A36)),A36,IF(Z36="","",INDEX('liste reference'!$A$8:$A$904,Z36))))</f>
        <v>POTPEC</v>
      </c>
      <c r="Z36" s="183">
        <f>IF(ISERROR(MATCH(A36,'liste reference'!$A$8:$A$904,0)),IF(ISERROR(MATCH(A36,'liste reference'!$B$8:$B$904,0)),"",(MATCH(A36,'liste reference'!$B$8:$B$904,0))),(MATCH(A36,'liste reference'!$A$8:$A$904,0)))</f>
        <v>421</v>
      </c>
      <c r="AA36" s="385"/>
      <c r="AB36" s="372"/>
      <c r="AC36" s="372"/>
      <c r="BB36" s="183">
        <f t="shared" si="8"/>
        <v>1</v>
      </c>
    </row>
    <row r="37" spans="1:54" ht="12.75">
      <c r="A37" s="322" t="s">
        <v>677</v>
      </c>
      <c r="B37" s="241">
        <v>0.04</v>
      </c>
      <c r="C37" s="242"/>
      <c r="D37" s="221" t="str">
        <f>IF(ISERROR(VLOOKUP($A37,'liste reference'!$A$7:$D$904,2,0)),IF(ISERROR(VLOOKUP($A37,'liste reference'!$B$7:$D$904,1,0)),"",VLOOKUP($A37,'liste reference'!$B$7:$D$904,1,0)),VLOOKUP($A37,'liste reference'!$A$7:$D$904,2,0))</f>
        <v>Zannichellia palustris</v>
      </c>
      <c r="E37" s="224" t="e">
        <f>IF(D37="",,VLOOKUP(D37,D$22:D29,1,0))</f>
        <v>#N/A</v>
      </c>
      <c r="F37" s="39">
        <f t="shared" si="1"/>
        <v>0.04</v>
      </c>
      <c r="G37" s="507" t="str">
        <f>IF(A37="","",IF(ISERROR(VLOOKUP($A37,'liste reference'!$A$7:$P$904,13,0)),IF(ISERROR(VLOOKUP($A37,'liste reference'!$B$7:$P$904,12,0)),"    -",VLOOKUP($A37,'liste reference'!$B$7:$P$904,12,0)),VLOOKUP($A37,'liste reference'!$A$7:$P$904,13,0)))</f>
        <v>PHy</v>
      </c>
      <c r="H37" s="508">
        <f>IF(A37="","x",IF(ISERROR(VLOOKUP($A37,'liste reference'!$A$8:$P$904,14,0)),IF(ISERROR(VLOOKUP($A37,'liste reference'!$B$8:$P$904,13,0)),"x",VLOOKUP($A37,'liste reference'!$B$8:$P$904,13,0)),VLOOKUP($A37,'liste reference'!$A$8:$P$904,14,0)))</f>
        <v>7</v>
      </c>
      <c r="I37" s="509">
        <f>IF(ISNUMBER(H37),IF(ISERROR(VLOOKUP($A37,'liste reference'!$A$7:$P$904,3,0)),IF(ISERROR(VLOOKUP($A37,'liste reference'!$B$7:$P$904,2,0)),"",VLOOKUP($A37,'liste reference'!$B$7:$P$904,2,0)),VLOOKUP($A37,'liste reference'!$A$7:$P$904,3,0)),"")</f>
        <v>5</v>
      </c>
      <c r="J37" s="509">
        <f>IF(ISNUMBER(H37),IF(ISERROR(VLOOKUP($A37,'liste reference'!$A$7:$P$904,4,0)),IF(ISERROR(VLOOKUP($A37,'liste reference'!$B$7:$P$904,3,0)),"",VLOOKUP($A37,'liste reference'!$B$7:$P$904,3,0)),VLOOKUP($A37,'liste reference'!$A$7:$P$904,4,0)),"")</f>
        <v>1</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Zannichellia palustris</v>
      </c>
      <c r="L37" s="333"/>
      <c r="M37" s="333"/>
      <c r="N37" s="333"/>
      <c r="O37" s="367"/>
      <c r="P37" s="367">
        <f>IF($A37="NEWCOD",IF($AC37="","No",$AC37),IF(ISTEXT($E37),"DEJA SAISI !",IF($A37="","",IF(ISERROR(VLOOKUP($A37,'liste reference'!A:S,19,FALSE)),IF(ISERROR(VLOOKUP($A37,'liste reference'!B:S,19,FALSE)),"",VLOOKUP($A37,'liste reference'!B:S,19,FALSE)),VLOOKUP($A37,'liste reference'!A:S,19,FALSE)))))</f>
        <v>1681</v>
      </c>
      <c r="Q37" s="222">
        <f t="shared" si="2"/>
        <v>0.04</v>
      </c>
      <c r="R37" s="223">
        <f t="shared" si="3"/>
        <v>1</v>
      </c>
      <c r="S37" s="223">
        <f t="shared" si="4"/>
        <v>5</v>
      </c>
      <c r="T37" s="223">
        <f t="shared" si="5"/>
        <v>5</v>
      </c>
      <c r="U37" s="225">
        <f t="shared" si="6"/>
        <v>1</v>
      </c>
      <c r="V37" s="287">
        <f t="shared" si="7"/>
      </c>
      <c r="W37" s="289" t="s">
        <v>1130</v>
      </c>
      <c r="Y37" s="324" t="str">
        <f>IF(A37="new.cod","NEWCOD",IF(AND((Z37=""),ISTEXT(A37)),A37,IF(Z37="","",INDEX('liste reference'!$A$8:$A$904,Z37))))</f>
        <v>ZANPAL</v>
      </c>
      <c r="Z37" s="183">
        <f>IF(ISERROR(MATCH(A37,'liste reference'!$A$8:$A$904,0)),IF(ISERROR(MATCH(A37,'liste reference'!$B$8:$B$904,0)),"",(MATCH(A37,'liste reference'!$B$8:$B$904,0))),(MATCH(A37,'liste reference'!$A$8:$A$904,0)))</f>
        <v>503</v>
      </c>
      <c r="AA37" s="385"/>
      <c r="AB37" s="372"/>
      <c r="AC37" s="372"/>
      <c r="BB37" s="183">
        <f t="shared" si="8"/>
        <v>1</v>
      </c>
    </row>
    <row r="38" spans="1:54" ht="12.75">
      <c r="A38" s="322" t="s">
        <v>366</v>
      </c>
      <c r="B38" s="241">
        <v>0.005</v>
      </c>
      <c r="C38" s="242"/>
      <c r="D38" s="221" t="str">
        <f>IF(ISERROR(VLOOKUP($A38,'liste reference'!$A$7:$D$904,2,0)),IF(ISERROR(VLOOKUP($A38,'liste reference'!$B$7:$D$904,1,0)),"",VLOOKUP($A38,'liste reference'!$B$7:$D$904,1,0)),VLOOKUP($A38,'liste reference'!$A$7:$D$904,2,0))</f>
        <v>Agrostis stolonifera</v>
      </c>
      <c r="E38" s="224" t="e">
        <f>IF(D38="",,VLOOKUP(D38,D$22:D30,1,0))</f>
        <v>#N/A</v>
      </c>
      <c r="F38" s="39">
        <f t="shared" si="1"/>
        <v>0.005</v>
      </c>
      <c r="G38" s="507" t="str">
        <f>IF(A38="","",IF(ISERROR(VLOOKUP($A38,'liste reference'!$A$7:$P$904,13,0)),IF(ISERROR(VLOOKUP($A38,'liste reference'!$B$7:$P$904,12,0)),"    -",VLOOKUP($A38,'liste reference'!$B$7:$P$904,12,0)),VLOOKUP($A38,'liste reference'!$A$7:$P$904,13,0)))</f>
        <v>PHe</v>
      </c>
      <c r="H38" s="508">
        <f>IF(A38="","x",IF(ISERROR(VLOOKUP($A38,'liste reference'!$A$8:$P$904,14,0)),IF(ISERROR(VLOOKUP($A38,'liste reference'!$B$8:$P$904,13,0)),"x",VLOOKUP($A38,'liste reference'!$B$8:$P$904,13,0)),VLOOKUP($A38,'liste reference'!$A$8:$P$904,14,0)))</f>
        <v>8</v>
      </c>
      <c r="I38" s="509">
        <f>IF(ISNUMBER(H38),IF(ISERROR(VLOOKUP($A38,'liste reference'!$A$7:$P$904,3,0)),IF(ISERROR(VLOOKUP($A38,'liste reference'!$B$7:$P$904,2,0)),"",VLOOKUP($A38,'liste reference'!$B$7:$P$904,2,0)),VLOOKUP($A38,'liste reference'!$A$7:$P$904,3,0)),"")</f>
        <v>10</v>
      </c>
      <c r="J38" s="509">
        <f>IF(ISNUMBER(H38),IF(ISERROR(VLOOKUP($A38,'liste reference'!$A$7:$P$904,4,0)),IF(ISERROR(VLOOKUP($A38,'liste reference'!$B$7:$P$904,3,0)),"",VLOOKUP($A38,'liste reference'!$B$7:$P$904,3,0)),VLOOKUP($A38,'liste reference'!$A$7:$P$904,4,0)),"")</f>
        <v>1</v>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Agrostis stolonifera</v>
      </c>
      <c r="L38" s="333"/>
      <c r="M38" s="333"/>
      <c r="N38" s="333"/>
      <c r="O38" s="367"/>
      <c r="P38" s="367">
        <f>IF($A38="NEWCOD",IF($AC38="","No",$AC38),IF(ISTEXT($E38),"DEJA SAISI !",IF($A38="","",IF(ISERROR(VLOOKUP($A38,'liste reference'!A:S,19,FALSE)),IF(ISERROR(VLOOKUP($A38,'liste reference'!B:S,19,FALSE)),"",VLOOKUP($A38,'liste reference'!B:S,19,FALSE)),VLOOKUP($A38,'liste reference'!A:S,19,FALSE)))))</f>
        <v>1543</v>
      </c>
      <c r="Q38" s="222">
        <f t="shared" si="2"/>
        <v>0.005</v>
      </c>
      <c r="R38" s="223">
        <f t="shared" si="3"/>
        <v>1</v>
      </c>
      <c r="S38" s="223">
        <f t="shared" si="4"/>
        <v>10</v>
      </c>
      <c r="T38" s="223">
        <f t="shared" si="5"/>
        <v>10</v>
      </c>
      <c r="U38" s="225">
        <f t="shared" si="6"/>
        <v>1</v>
      </c>
      <c r="V38" s="287">
        <f t="shared" si="7"/>
      </c>
      <c r="W38" s="289" t="s">
        <v>1130</v>
      </c>
      <c r="Y38" s="324" t="str">
        <f>IF(A38="new.cod","NEWCOD",IF(AND((Z38=""),ISTEXT(A38)),A38,IF(Z38="","",INDEX('liste reference'!$A$8:$A$904,Z38))))</f>
        <v>AGRSTO</v>
      </c>
      <c r="Z38" s="183">
        <f>IF(ISERROR(MATCH(A38,'liste reference'!$A$8:$A$904,0)),IF(ISERROR(MATCH(A38,'liste reference'!$B$8:$B$904,0)),"",(MATCH(A38,'liste reference'!$B$8:$B$904,0))),(MATCH(A38,'liste reference'!$A$8:$A$904,0)))</f>
        <v>514</v>
      </c>
      <c r="AA38" s="385"/>
      <c r="AB38" s="372"/>
      <c r="AC38" s="372"/>
      <c r="BB38" s="183">
        <f t="shared" si="8"/>
        <v>1</v>
      </c>
    </row>
    <row r="39" spans="1:54" ht="12.75">
      <c r="A39" s="322" t="s">
        <v>368</v>
      </c>
      <c r="B39" s="241">
        <v>0.005</v>
      </c>
      <c r="C39" s="242"/>
      <c r="D39" s="221" t="str">
        <f>IF(ISERROR(VLOOKUP($A39,'liste reference'!$A$7:$D$904,2,0)),IF(ISERROR(VLOOKUP($A39,'liste reference'!$B$7:$D$904,1,0)),"",VLOOKUP($A39,'liste reference'!$B$7:$D$904,1,0)),VLOOKUP($A39,'liste reference'!$A$7:$D$904,2,0))</f>
        <v>Alisma lanceolatum</v>
      </c>
      <c r="E39" s="224" t="e">
        <f>IF(D39="",,VLOOKUP(D39,D$22:D38,1,0))</f>
        <v>#N/A</v>
      </c>
      <c r="F39" s="39">
        <f t="shared" si="1"/>
        <v>0.005</v>
      </c>
      <c r="G39" s="507" t="str">
        <f>IF(A39="","",IF(ISERROR(VLOOKUP($A39,'liste reference'!$A$7:$P$904,13,0)),IF(ISERROR(VLOOKUP($A39,'liste reference'!$B$7:$P$904,12,0)),"    -",VLOOKUP($A39,'liste reference'!$B$7:$P$904,12,0)),VLOOKUP($A39,'liste reference'!$A$7:$P$904,13,0)))</f>
        <v>PHe</v>
      </c>
      <c r="H39" s="508">
        <f>IF(A39="","x",IF(ISERROR(VLOOKUP($A39,'liste reference'!$A$8:$P$904,14,0)),IF(ISERROR(VLOOKUP($A39,'liste reference'!$B$8:$P$904,13,0)),"x",VLOOKUP($A39,'liste reference'!$B$8:$P$904,13,0)),VLOOKUP($A39,'liste reference'!$A$8:$P$904,14,0)))</f>
        <v>8</v>
      </c>
      <c r="I39" s="509">
        <f>IF(ISNUMBER(H39),IF(ISERROR(VLOOKUP($A39,'liste reference'!$A$7:$P$904,3,0)),IF(ISERROR(VLOOKUP($A39,'liste reference'!$B$7:$P$904,2,0)),"",VLOOKUP($A39,'liste reference'!$B$7:$P$904,2,0)),VLOOKUP($A39,'liste reference'!$A$7:$P$904,3,0)),"")</f>
        <v>9</v>
      </c>
      <c r="J39" s="509">
        <f>IF(ISNUMBER(H39),IF(ISERROR(VLOOKUP($A39,'liste reference'!$A$7:$P$904,4,0)),IF(ISERROR(VLOOKUP($A39,'liste reference'!$B$7:$P$904,3,0)),"",VLOOKUP($A39,'liste reference'!$B$7:$P$904,3,0)),VLOOKUP($A39,'liste reference'!$A$7:$P$904,4,0)),"")</f>
        <v>2</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Alisma lanceolatum</v>
      </c>
      <c r="L39" s="333"/>
      <c r="M39" s="333"/>
      <c r="N39" s="333"/>
      <c r="O39" s="367" t="s">
        <v>1147</v>
      </c>
      <c r="P39" s="367">
        <f>IF($A39="NEWCOD",IF($AC39="","No",$AC39),IF(ISTEXT($E39),"DEJA SAISI !",IF($A39="","",IF(ISERROR(VLOOKUP($A39,'liste reference'!A:S,19,FALSE)),IF(ISERROR(VLOOKUP($A39,'liste reference'!B:S,19,FALSE)),"",VLOOKUP($A39,'liste reference'!B:S,19,FALSE)),VLOOKUP($A39,'liste reference'!A:S,19,FALSE)))))</f>
        <v>1446</v>
      </c>
      <c r="Q39" s="222">
        <f t="shared" si="2"/>
        <v>0.005</v>
      </c>
      <c r="R39" s="223">
        <f t="shared" si="3"/>
        <v>1</v>
      </c>
      <c r="S39" s="223">
        <f t="shared" si="4"/>
        <v>9</v>
      </c>
      <c r="T39" s="223">
        <f t="shared" si="5"/>
        <v>18</v>
      </c>
      <c r="U39" s="225">
        <f t="shared" si="6"/>
        <v>2</v>
      </c>
      <c r="V39" s="287">
        <f t="shared" si="7"/>
      </c>
      <c r="W39" s="289" t="s">
        <v>1130</v>
      </c>
      <c r="Y39" s="324" t="str">
        <f>IF(A39="new.cod","NEWCOD",IF(AND((Z39=""),ISTEXT(A39)),A39,IF(Z39="","",INDEX('liste reference'!$A$8:$A$904,Z39))))</f>
        <v>ALILAN</v>
      </c>
      <c r="Z39" s="183">
        <f>IF(ISERROR(MATCH(A39,'liste reference'!$A$8:$A$904,0)),IF(ISERROR(MATCH(A39,'liste reference'!$B$8:$B$904,0)),"",(MATCH(A39,'liste reference'!$B$8:$B$904,0))),(MATCH(A39,'liste reference'!$A$8:$A$904,0)))</f>
        <v>516</v>
      </c>
      <c r="AA39" s="385" t="s">
        <v>1147</v>
      </c>
      <c r="AB39" s="372"/>
      <c r="AC39" s="372"/>
      <c r="BB39" s="183">
        <f t="shared" si="8"/>
        <v>1</v>
      </c>
    </row>
    <row r="40" spans="1:54" ht="12.75">
      <c r="A40" s="322" t="s">
        <v>369</v>
      </c>
      <c r="B40" s="241">
        <v>0.005</v>
      </c>
      <c r="C40" s="242"/>
      <c r="D40" s="221" t="str">
        <f>IF(ISERROR(VLOOKUP($A40,'liste reference'!$A$7:$D$904,2,0)),IF(ISERROR(VLOOKUP($A40,'liste reference'!$B$7:$D$904,1,0)),"",VLOOKUP($A40,'liste reference'!$B$7:$D$904,1,0)),VLOOKUP($A40,'liste reference'!$A$7:$D$904,2,0))</f>
        <v>Alisma plantago-aquatica</v>
      </c>
      <c r="E40" s="224" t="e">
        <f>IF(D40="",,VLOOKUP(D40,D$22:D39,1,0))</f>
        <v>#N/A</v>
      </c>
      <c r="F40" s="39">
        <f t="shared" si="1"/>
        <v>0.005</v>
      </c>
      <c r="G40" s="507" t="str">
        <f>IF(A40="","",IF(ISERROR(VLOOKUP($A40,'liste reference'!$A$7:$P$904,13,0)),IF(ISERROR(VLOOKUP($A40,'liste reference'!$B$7:$P$904,12,0)),"    -",VLOOKUP($A40,'liste reference'!$B$7:$P$904,12,0)),VLOOKUP($A40,'liste reference'!$A$7:$P$904,13,0)))</f>
        <v>PHe</v>
      </c>
      <c r="H40" s="508">
        <f>IF(A40="","x",IF(ISERROR(VLOOKUP($A40,'liste reference'!$A$8:$P$904,14,0)),IF(ISERROR(VLOOKUP($A40,'liste reference'!$B$8:$P$904,13,0)),"x",VLOOKUP($A40,'liste reference'!$B$8:$P$904,13,0)),VLOOKUP($A40,'liste reference'!$A$8:$P$904,14,0)))</f>
        <v>8</v>
      </c>
      <c r="I40" s="509">
        <f>IF(ISNUMBER(H40),IF(ISERROR(VLOOKUP($A40,'liste reference'!$A$7:$P$904,3,0)),IF(ISERROR(VLOOKUP($A40,'liste reference'!$B$7:$P$904,2,0)),"",VLOOKUP($A40,'liste reference'!$B$7:$P$904,2,0)),VLOOKUP($A40,'liste reference'!$A$7:$P$904,3,0)),"")</f>
        <v>8</v>
      </c>
      <c r="J40" s="509">
        <f>IF(ISNUMBER(H40),IF(ISERROR(VLOOKUP($A40,'liste reference'!$A$7:$P$904,4,0)),IF(ISERROR(VLOOKUP($A40,'liste reference'!$B$7:$P$904,3,0)),"",VLOOKUP($A40,'liste reference'!$B$7:$P$904,3,0)),VLOOKUP($A40,'liste reference'!$A$7:$P$904,4,0)),"")</f>
        <v>2</v>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Alisma plantago-aquatica</v>
      </c>
      <c r="L40" s="333"/>
      <c r="M40" s="333"/>
      <c r="N40" s="333"/>
      <c r="O40" s="367"/>
      <c r="P40" s="367">
        <f>IF($A40="NEWCOD",IF($AC40="","No",$AC40),IF(ISTEXT($E40),"DEJA SAISI !",IF($A40="","",IF(ISERROR(VLOOKUP($A40,'liste reference'!A:S,19,FALSE)),IF(ISERROR(VLOOKUP($A40,'liste reference'!B:S,19,FALSE)),"",VLOOKUP($A40,'liste reference'!B:S,19,FALSE)),VLOOKUP($A40,'liste reference'!A:S,19,FALSE)))))</f>
        <v>1447</v>
      </c>
      <c r="Q40" s="222">
        <f t="shared" si="2"/>
        <v>0.005</v>
      </c>
      <c r="R40" s="223">
        <f t="shared" si="3"/>
        <v>1</v>
      </c>
      <c r="S40" s="223">
        <f t="shared" si="4"/>
        <v>8</v>
      </c>
      <c r="T40" s="223">
        <f t="shared" si="5"/>
        <v>16</v>
      </c>
      <c r="U40" s="225">
        <f t="shared" si="6"/>
        <v>2</v>
      </c>
      <c r="V40" s="287">
        <f t="shared" si="7"/>
      </c>
      <c r="W40" s="289" t="s">
        <v>1130</v>
      </c>
      <c r="Y40" s="324" t="str">
        <f>IF(A40="new.cod","NEWCOD",IF(AND((Z40=""),ISTEXT(A40)),A40,IF(Z40="","",INDEX('liste reference'!$A$8:$A$904,Z40))))</f>
        <v>ALIPLA</v>
      </c>
      <c r="Z40" s="183">
        <f>IF(ISERROR(MATCH(A40,'liste reference'!$A$8:$A$904,0)),IF(ISERROR(MATCH(A40,'liste reference'!$B$8:$B$904,0)),"",(MATCH(A40,'liste reference'!$B$8:$B$904,0))),(MATCH(A40,'liste reference'!$A$8:$A$904,0)))</f>
        <v>517</v>
      </c>
      <c r="AA40" s="385"/>
      <c r="AB40" s="372"/>
      <c r="AC40" s="372"/>
      <c r="BB40" s="183">
        <f t="shared" si="8"/>
        <v>1</v>
      </c>
    </row>
    <row r="41" spans="1:54" ht="12.75">
      <c r="A41" s="322" t="s">
        <v>387</v>
      </c>
      <c r="B41" s="241">
        <v>0.04</v>
      </c>
      <c r="C41" s="242"/>
      <c r="D41" s="221" t="str">
        <f>IF(ISERROR(VLOOKUP($A41,'liste reference'!$A$7:$D$904,2,0)),IF(ISERROR(VLOOKUP($A41,'liste reference'!$B$7:$D$904,1,0)),"",VLOOKUP($A41,'liste reference'!$B$7:$D$904,1,0)),VLOOKUP($A41,'liste reference'!$A$7:$D$904,2,0))</f>
        <v>Carex acuta</v>
      </c>
      <c r="E41" s="224" t="e">
        <f>IF(D41="",,VLOOKUP(D41,D$22:D40,1,0))</f>
        <v>#N/A</v>
      </c>
      <c r="F41" s="39">
        <f t="shared" si="1"/>
        <v>0.04</v>
      </c>
      <c r="G41" s="507" t="str">
        <f>IF(A41="","",IF(ISERROR(VLOOKUP($A41,'liste reference'!$A$7:$P$904,13,0)),IF(ISERROR(VLOOKUP($A41,'liste reference'!$B$7:$P$904,12,0)),"    -",VLOOKUP($A41,'liste reference'!$B$7:$P$904,12,0)),VLOOKUP($A41,'liste reference'!$A$7:$P$904,13,0)))</f>
        <v>PHe</v>
      </c>
      <c r="H41" s="508">
        <f>IF(A41="","x",IF(ISERROR(VLOOKUP($A41,'liste reference'!$A$8:$P$904,14,0)),IF(ISERROR(VLOOKUP($A41,'liste reference'!$B$8:$P$904,13,0)),"x",VLOOKUP($A41,'liste reference'!$B$8:$P$904,13,0)),VLOOKUP($A41,'liste reference'!$A$8:$P$904,14,0)))</f>
        <v>8</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Carex acuta</v>
      </c>
      <c r="L41" s="333"/>
      <c r="M41" s="333"/>
      <c r="N41" s="333"/>
      <c r="O41" s="367"/>
      <c r="P41" s="367">
        <f>IF($A41="NEWCOD",IF($AC41="","No",$AC41),IF(ISTEXT($E41),"DEJA SAISI !",IF($A41="","",IF(ISERROR(VLOOKUP($A41,'liste reference'!A:S,19,FALSE)),IF(ISERROR(VLOOKUP($A41,'liste reference'!B:S,19,FALSE)),"",VLOOKUP($A41,'liste reference'!B:S,19,FALSE)),VLOOKUP($A41,'liste reference'!A:S,19,FALSE)))))</f>
        <v>1467</v>
      </c>
      <c r="Q41" s="222">
        <f t="shared" si="2"/>
        <v>0.04</v>
      </c>
      <c r="R41" s="223">
        <f t="shared" si="3"/>
        <v>1</v>
      </c>
      <c r="S41" s="223">
        <f t="shared" si="4"/>
        <v>0</v>
      </c>
      <c r="T41" s="223">
        <f t="shared" si="5"/>
        <v>0</v>
      </c>
      <c r="U41" s="225">
        <f t="shared" si="6"/>
        <v>0</v>
      </c>
      <c r="V41" s="287">
        <f t="shared" si="7"/>
      </c>
      <c r="W41" s="289" t="s">
        <v>1130</v>
      </c>
      <c r="Y41" s="324" t="str">
        <f>IF(A41="new.cod","NEWCOD",IF(AND((Z41=""),ISTEXT(A41)),A41,IF(Z41="","",INDEX('liste reference'!$A$8:$A$904,Z41))))</f>
        <v>CARACU</v>
      </c>
      <c r="Z41" s="183">
        <f>IF(ISERROR(MATCH(A41,'liste reference'!$A$8:$A$904,0)),IF(ISERROR(MATCH(A41,'liste reference'!$B$8:$B$904,0)),"",(MATCH(A41,'liste reference'!$B$8:$B$904,0))),(MATCH(A41,'liste reference'!$A$8:$A$904,0)))</f>
        <v>536</v>
      </c>
      <c r="AA41" s="385"/>
      <c r="AB41" s="372"/>
      <c r="AC41" s="372"/>
      <c r="BB41" s="183">
        <f t="shared" si="8"/>
        <v>1</v>
      </c>
    </row>
    <row r="42" spans="1:54" ht="12.75">
      <c r="A42" s="322" t="s">
        <v>406</v>
      </c>
      <c r="B42" s="241">
        <v>0.01</v>
      </c>
      <c r="C42" s="242"/>
      <c r="D42" s="221" t="str">
        <f>IF(ISERROR(VLOOKUP($A42,'liste reference'!$A$7:$D$904,2,0)),IF(ISERROR(VLOOKUP($A42,'liste reference'!$B$7:$D$904,1,0)),"",VLOOKUP($A42,'liste reference'!$B$7:$D$904,1,0)),VLOOKUP($A42,'liste reference'!$A$7:$D$904,2,0))</f>
        <v>Cyperus fuscus</v>
      </c>
      <c r="E42" s="224" t="e">
        <f>IF(D42="",,VLOOKUP(D42,D$22:D41,1,0))</f>
        <v>#N/A</v>
      </c>
      <c r="F42" s="39">
        <f t="shared" si="1"/>
        <v>0.01</v>
      </c>
      <c r="G42" s="507" t="str">
        <f>IF(A42="","",IF(ISERROR(VLOOKUP($A42,'liste reference'!$A$7:$P$904,13,0)),IF(ISERROR(VLOOKUP($A42,'liste reference'!$B$7:$P$904,12,0)),"    -",VLOOKUP($A42,'liste reference'!$B$7:$P$904,12,0)),VLOOKUP($A42,'liste reference'!$A$7:$P$904,13,0)))</f>
        <v>PHe</v>
      </c>
      <c r="H42" s="508">
        <f>IF(A42="","x",IF(ISERROR(VLOOKUP($A42,'liste reference'!$A$8:$P$904,14,0)),IF(ISERROR(VLOOKUP($A42,'liste reference'!$B$8:$P$904,13,0)),"x",VLOOKUP($A42,'liste reference'!$B$8:$P$904,13,0)),VLOOKUP($A42,'liste reference'!$A$8:$P$904,14,0)))</f>
        <v>8</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Cyperus fuscus</v>
      </c>
      <c r="L42" s="333"/>
      <c r="M42" s="333"/>
      <c r="N42" s="333"/>
      <c r="O42" s="367"/>
      <c r="P42" s="367">
        <f>IF($A42="NEWCOD",IF($AC42="","No",$AC42),IF(ISTEXT($E42),"DEJA SAISI !",IF($A42="","",IF(ISERROR(VLOOKUP($A42,'liste reference'!A:S,19,FALSE)),IF(ISERROR(VLOOKUP($A42,'liste reference'!B:S,19,FALSE)),"",VLOOKUP($A42,'liste reference'!B:S,19,FALSE)),VLOOKUP($A42,'liste reference'!A:S,19,FALSE)))))</f>
        <v>1499</v>
      </c>
      <c r="Q42" s="222">
        <f t="shared" si="2"/>
        <v>0.01</v>
      </c>
      <c r="R42" s="223">
        <f t="shared" si="3"/>
        <v>1</v>
      </c>
      <c r="S42" s="223">
        <f t="shared" si="4"/>
        <v>0</v>
      </c>
      <c r="T42" s="223">
        <f t="shared" si="5"/>
        <v>0</v>
      </c>
      <c r="U42" s="225">
        <f t="shared" si="6"/>
        <v>0</v>
      </c>
      <c r="V42" s="287">
        <f t="shared" si="7"/>
      </c>
      <c r="W42" s="289" t="s">
        <v>1130</v>
      </c>
      <c r="Y42" s="324" t="str">
        <f>IF(A42="new.cod","NEWCOD",IF(AND((Z42=""),ISTEXT(A42)),A42,IF(Z42="","",INDEX('liste reference'!$A$8:$A$904,Z42))))</f>
        <v>CYPFUS</v>
      </c>
      <c r="Z42" s="183">
        <f>IF(ISERROR(MATCH(A42,'liste reference'!$A$8:$A$904,0)),IF(ISERROR(MATCH(A42,'liste reference'!$B$8:$B$904,0)),"",(MATCH(A42,'liste reference'!$B$8:$B$904,0))),(MATCH(A42,'liste reference'!$A$8:$A$904,0)))</f>
        <v>555</v>
      </c>
      <c r="AA42" s="385"/>
      <c r="AB42" s="372"/>
      <c r="AC42" s="372"/>
      <c r="BB42" s="183">
        <f t="shared" si="8"/>
        <v>1</v>
      </c>
    </row>
    <row r="43" spans="1:54" ht="12.75">
      <c r="A43" s="322" t="s">
        <v>443</v>
      </c>
      <c r="B43" s="241">
        <v>0.2</v>
      </c>
      <c r="C43" s="242"/>
      <c r="D43" s="221" t="str">
        <f>IF(ISERROR(VLOOKUP($A43,'liste reference'!$A$7:$D$904,2,0)),IF(ISERROR(VLOOKUP($A43,'liste reference'!$B$7:$D$904,1,0)),"",VLOOKUP($A43,'liste reference'!$B$7:$D$904,1,0)),VLOOKUP($A43,'liste reference'!$A$7:$D$904,2,0))</f>
        <v>Ludwigia peploides</v>
      </c>
      <c r="E43" s="224" t="e">
        <f>IF(D43="",,VLOOKUP(D43,D$22:D42,1,0))</f>
        <v>#N/A</v>
      </c>
      <c r="F43" s="39">
        <f t="shared" si="1"/>
        <v>0.2</v>
      </c>
      <c r="G43" s="507" t="str">
        <f>IF(A43="","",IF(ISERROR(VLOOKUP($A43,'liste reference'!$A$7:$P$904,13,0)),IF(ISERROR(VLOOKUP($A43,'liste reference'!$B$7:$P$904,12,0)),"    -",VLOOKUP($A43,'liste reference'!$B$7:$P$904,12,0)),VLOOKUP($A43,'liste reference'!$A$7:$P$904,13,0)))</f>
        <v>PHe</v>
      </c>
      <c r="H43" s="508">
        <f>IF(A43="","x",IF(ISERROR(VLOOKUP($A43,'liste reference'!$A$8:$P$904,14,0)),IF(ISERROR(VLOOKUP($A43,'liste reference'!$B$8:$P$904,13,0)),"x",VLOOKUP($A43,'liste reference'!$B$8:$P$904,13,0)),VLOOKUP($A43,'liste reference'!$A$8:$P$904,14,0)))</f>
        <v>8</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Ludwigia peploides</v>
      </c>
      <c r="L43" s="333"/>
      <c r="M43" s="333"/>
      <c r="N43" s="333"/>
      <c r="O43" s="367"/>
      <c r="P43" s="367">
        <f>IF($A43="NEWCOD",IF($AC43="","No",$AC43),IF(ISTEXT($E43),"DEJA SAISI !",IF($A43="","",IF(ISERROR(VLOOKUP($A43,'liste reference'!A:S,19,FALSE)),IF(ISERROR(VLOOKUP($A43,'liste reference'!B:S,19,FALSE)),"",VLOOKUP($A43,'liste reference'!B:S,19,FALSE)),VLOOKUP($A43,'liste reference'!A:S,19,FALSE)))))</f>
        <v>1856</v>
      </c>
      <c r="Q43" s="222">
        <f t="shared" si="2"/>
        <v>0.2</v>
      </c>
      <c r="R43" s="223">
        <f t="shared" si="3"/>
        <v>2</v>
      </c>
      <c r="S43" s="223">
        <f t="shared" si="4"/>
        <v>0</v>
      </c>
      <c r="T43" s="223">
        <f t="shared" si="5"/>
        <v>0</v>
      </c>
      <c r="U43" s="225">
        <f t="shared" si="6"/>
        <v>0</v>
      </c>
      <c r="V43" s="287">
        <f t="shared" si="7"/>
      </c>
      <c r="W43" s="289" t="s">
        <v>1130</v>
      </c>
      <c r="Y43" s="324" t="str">
        <f>IF(A43="new.cod","NEWCOD",IF(AND((Z43=""),ISTEXT(A43)),A43,IF(Z43="","",INDEX('liste reference'!$A$8:$A$904,Z43))))</f>
        <v>LUDPEP</v>
      </c>
      <c r="Z43" s="183">
        <f>IF(ISERROR(MATCH(A43,'liste reference'!$A$8:$A$904,0)),IF(ISERROR(MATCH(A43,'liste reference'!$B$8:$B$904,0)),"",(MATCH(A43,'liste reference'!$B$8:$B$904,0))),(MATCH(A43,'liste reference'!$A$8:$A$904,0)))</f>
        <v>594</v>
      </c>
      <c r="AA43" s="385"/>
      <c r="AB43" s="372"/>
      <c r="AC43" s="372"/>
      <c r="BB43" s="183">
        <f t="shared" si="8"/>
        <v>1</v>
      </c>
    </row>
    <row r="44" spans="1:54" ht="12.75">
      <c r="A44" s="322" t="s">
        <v>450</v>
      </c>
      <c r="B44" s="241">
        <v>0.005</v>
      </c>
      <c r="C44" s="242"/>
      <c r="D44" s="221" t="str">
        <f>IF(ISERROR(VLOOKUP($A44,'liste reference'!$A$7:$D$904,2,0)),IF(ISERROR(VLOOKUP($A44,'liste reference'!$B$7:$D$904,1,0)),"",VLOOKUP($A44,'liste reference'!$B$7:$D$904,1,0)),VLOOKUP($A44,'liste reference'!$A$7:$D$904,2,0))</f>
        <v>Lysimachia vulgaris</v>
      </c>
      <c r="E44" s="224" t="e">
        <f>IF(D44="",,VLOOKUP(D44,D$22:D43,1,0))</f>
        <v>#N/A</v>
      </c>
      <c r="F44" s="39">
        <f t="shared" si="1"/>
        <v>0.005</v>
      </c>
      <c r="G44" s="507" t="str">
        <f>IF(A44="","",IF(ISERROR(VLOOKUP($A44,'liste reference'!$A$7:$P$904,13,0)),IF(ISERROR(VLOOKUP($A44,'liste reference'!$B$7:$P$904,12,0)),"    -",VLOOKUP($A44,'liste reference'!$B$7:$P$904,12,0)),VLOOKUP($A44,'liste reference'!$A$7:$P$904,13,0)))</f>
        <v>PHe</v>
      </c>
      <c r="H44" s="508">
        <f>IF(A44="","x",IF(ISERROR(VLOOKUP($A44,'liste reference'!$A$8:$P$904,14,0)),IF(ISERROR(VLOOKUP($A44,'liste reference'!$B$8:$P$904,13,0)),"x",VLOOKUP($A44,'liste reference'!$B$8:$P$904,13,0)),VLOOKUP($A44,'liste reference'!$A$8:$P$904,14,0)))</f>
        <v>8</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Lysimachia vulgaris</v>
      </c>
      <c r="L44" s="333"/>
      <c r="M44" s="333"/>
      <c r="N44" s="333"/>
      <c r="O44" s="367"/>
      <c r="P44" s="367">
        <f>IF($A44="NEWCOD",IF($AC44="","No",$AC44),IF(ISTEXT($E44),"DEJA SAISI !",IF($A44="","",IF(ISERROR(VLOOKUP($A44,'liste reference'!A:S,19,FALSE)),IF(ISERROR(VLOOKUP($A44,'liste reference'!B:S,19,FALSE)),"",VLOOKUP($A44,'liste reference'!B:S,19,FALSE)),VLOOKUP($A44,'liste reference'!A:S,19,FALSE)))))</f>
        <v>1887</v>
      </c>
      <c r="Q44" s="222">
        <f t="shared" si="2"/>
        <v>0.005</v>
      </c>
      <c r="R44" s="223">
        <f t="shared" si="3"/>
        <v>1</v>
      </c>
      <c r="S44" s="223">
        <f t="shared" si="4"/>
        <v>0</v>
      </c>
      <c r="T44" s="223">
        <f t="shared" si="5"/>
        <v>0</v>
      </c>
      <c r="U44" s="225">
        <f t="shared" si="6"/>
        <v>0</v>
      </c>
      <c r="V44" s="287">
        <f t="shared" si="7"/>
      </c>
      <c r="W44" s="289" t="s">
        <v>1130</v>
      </c>
      <c r="Y44" s="324" t="str">
        <f>IF(A44="new.cod","NEWCOD",IF(AND((Z44=""),ISTEXT(A44)),A44,IF(Z44="","",INDEX('liste reference'!$A$8:$A$904,Z44))))</f>
        <v>LYSVUL</v>
      </c>
      <c r="Z44" s="183">
        <f>IF(ISERROR(MATCH(A44,'liste reference'!$A$8:$A$904,0)),IF(ISERROR(MATCH(A44,'liste reference'!$B$8:$B$904,0)),"",(MATCH(A44,'liste reference'!$B$8:$B$904,0))),(MATCH(A44,'liste reference'!$A$8:$A$904,0)))</f>
        <v>601</v>
      </c>
      <c r="AA44" s="385"/>
      <c r="AB44" s="372"/>
      <c r="AC44" s="372"/>
      <c r="BB44" s="183">
        <f t="shared" si="8"/>
        <v>1</v>
      </c>
    </row>
    <row r="45" spans="1:54" ht="12.75">
      <c r="A45" s="322" t="s">
        <v>453</v>
      </c>
      <c r="B45" s="241">
        <v>0.01</v>
      </c>
      <c r="C45" s="242"/>
      <c r="D45" s="221" t="str">
        <f>IF(ISERROR(VLOOKUP($A45,'liste reference'!$A$7:$D$904,2,0)),IF(ISERROR(VLOOKUP($A45,'liste reference'!$B$7:$D$904,1,0)),"",VLOOKUP($A45,'liste reference'!$B$7:$D$904,1,0)),VLOOKUP($A45,'liste reference'!$A$7:$D$904,2,0))</f>
        <v>Lythrum salicaria</v>
      </c>
      <c r="E45" s="224" t="e">
        <f>IF(D45="",,VLOOKUP(D45,D$22:D44,1,0))</f>
        <v>#N/A</v>
      </c>
      <c r="F45" s="39">
        <f t="shared" si="1"/>
        <v>0.01</v>
      </c>
      <c r="G45" s="507" t="str">
        <f>IF(A45="","",IF(ISERROR(VLOOKUP($A45,'liste reference'!$A$7:$P$904,13,0)),IF(ISERROR(VLOOKUP($A45,'liste reference'!$B$7:$P$904,12,0)),"    -",VLOOKUP($A45,'liste reference'!$B$7:$P$904,12,0)),VLOOKUP($A45,'liste reference'!$A$7:$P$904,13,0)))</f>
        <v>PHe</v>
      </c>
      <c r="H45" s="508">
        <f>IF(A45="","x",IF(ISERROR(VLOOKUP($A45,'liste reference'!$A$8:$P$904,14,0)),IF(ISERROR(VLOOKUP($A45,'liste reference'!$B$8:$P$904,13,0)),"x",VLOOKUP($A45,'liste reference'!$B$8:$P$904,13,0)),VLOOKUP($A45,'liste reference'!$A$8:$P$904,14,0)))</f>
        <v>8</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Lythrum salicaria</v>
      </c>
      <c r="L45" s="333"/>
      <c r="M45" s="333"/>
      <c r="N45" s="333"/>
      <c r="O45" s="367"/>
      <c r="P45" s="367">
        <f>IF($A45="NEWCOD",IF($AC45="","No",$AC45),IF(ISTEXT($E45),"DEJA SAISI !",IF($A45="","",IF(ISERROR(VLOOKUP($A45,'liste reference'!A:S,19,FALSE)),IF(ISERROR(VLOOKUP($A45,'liste reference'!B:S,19,FALSE)),"",VLOOKUP($A45,'liste reference'!B:S,19,FALSE)),VLOOKUP($A45,'liste reference'!A:S,19,FALSE)))))</f>
        <v>1823</v>
      </c>
      <c r="Q45" s="222">
        <f t="shared" si="2"/>
        <v>0.01</v>
      </c>
      <c r="R45" s="223">
        <f t="shared" si="3"/>
        <v>1</v>
      </c>
      <c r="S45" s="223">
        <f t="shared" si="4"/>
        <v>0</v>
      </c>
      <c r="T45" s="223">
        <f t="shared" si="5"/>
        <v>0</v>
      </c>
      <c r="U45" s="225">
        <f t="shared" si="6"/>
        <v>0</v>
      </c>
      <c r="V45" s="287">
        <f t="shared" si="7"/>
      </c>
      <c r="W45" s="289" t="s">
        <v>1130</v>
      </c>
      <c r="Y45" s="324" t="str">
        <f>IF(A45="new.cod","NEWCOD",IF(AND((Z45=""),ISTEXT(A45)),A45,IF(Z45="","",INDEX('liste reference'!$A$8:$A$904,Z45))))</f>
        <v>LYTSAL</v>
      </c>
      <c r="Z45" s="183">
        <f>IF(ISERROR(MATCH(A45,'liste reference'!$A$8:$A$904,0)),IF(ISERROR(MATCH(A45,'liste reference'!$B$8:$B$904,0)),"",(MATCH(A45,'liste reference'!$B$8:$B$904,0))),(MATCH(A45,'liste reference'!$A$8:$A$904,0)))</f>
        <v>605</v>
      </c>
      <c r="AA45" s="385"/>
      <c r="AB45" s="372"/>
      <c r="AC45" s="372"/>
      <c r="BB45" s="183">
        <f t="shared" si="8"/>
        <v>1</v>
      </c>
    </row>
    <row r="46" spans="1:54" ht="12.75">
      <c r="A46" s="322" t="s">
        <v>455</v>
      </c>
      <c r="B46" s="241">
        <v>0.005</v>
      </c>
      <c r="C46" s="242"/>
      <c r="D46" s="221" t="str">
        <f>IF(ISERROR(VLOOKUP($A46,'liste reference'!$A$7:$D$904,2,0)),IF(ISERROR(VLOOKUP($A46,'liste reference'!$B$7:$D$904,1,0)),"",VLOOKUP($A46,'liste reference'!$B$7:$D$904,1,0)),VLOOKUP($A46,'liste reference'!$A$7:$D$904,2,0))</f>
        <v>Mentha aquatica</v>
      </c>
      <c r="E46" s="224" t="e">
        <f>IF(D46="",,VLOOKUP(D46,D$22:D45,1,0))</f>
        <v>#N/A</v>
      </c>
      <c r="F46" s="39">
        <f t="shared" si="1"/>
        <v>0.005</v>
      </c>
      <c r="G46" s="507" t="str">
        <f>IF(A46="","",IF(ISERROR(VLOOKUP($A46,'liste reference'!$A$7:$P$904,13,0)),IF(ISERROR(VLOOKUP($A46,'liste reference'!$B$7:$P$904,12,0)),"    -",VLOOKUP($A46,'liste reference'!$B$7:$P$904,12,0)),VLOOKUP($A46,'liste reference'!$A$7:$P$904,13,0)))</f>
        <v>PHe</v>
      </c>
      <c r="H46" s="508">
        <f>IF(A46="","x",IF(ISERROR(VLOOKUP($A46,'liste reference'!$A$8:$P$904,14,0)),IF(ISERROR(VLOOKUP($A46,'liste reference'!$B$8:$P$904,13,0)),"x",VLOOKUP($A46,'liste reference'!$B$8:$P$904,13,0)),VLOOKUP($A46,'liste reference'!$A$8:$P$904,14,0)))</f>
        <v>8</v>
      </c>
      <c r="I46" s="509">
        <f>IF(ISNUMBER(H46),IF(ISERROR(VLOOKUP($A46,'liste reference'!$A$7:$P$904,3,0)),IF(ISERROR(VLOOKUP($A46,'liste reference'!$B$7:$P$904,2,0)),"",VLOOKUP($A46,'liste reference'!$B$7:$P$904,2,0)),VLOOKUP($A46,'liste reference'!$A$7:$P$904,3,0)),"")</f>
        <v>12</v>
      </c>
      <c r="J46" s="509">
        <f>IF(ISNUMBER(H46),IF(ISERROR(VLOOKUP($A46,'liste reference'!$A$7:$P$904,4,0)),IF(ISERROR(VLOOKUP($A46,'liste reference'!$B$7:$P$904,3,0)),"",VLOOKUP($A46,'liste reference'!$B$7:$P$904,3,0)),VLOOKUP($A46,'liste reference'!$A$7:$P$904,4,0)),"")</f>
        <v>1</v>
      </c>
      <c r="K46" s="587" t="str">
        <f>IF(A46="NEWCOD",IF(AB46="","Remplir le champs 'Nouveau taxa' svp.",$AB46),IF(ISTEXT($E46),"DEJA SAISI !",IF(A46="","",IF(ISERROR(VLOOKUP($A46,'liste reference'!$A$7:$D$904,2,0)),IF(ISERROR(VLOOKUP($A46,'liste reference'!$B$7:$D$904,1,0)),"code non répertorié ou synonyme",VLOOKUP($A46,'liste reference'!$B$7:$D$904,1,0)),VLOOKUP(A46,'liste reference'!$A$7:$D$904,2,0)))))</f>
        <v>Mentha aquatica</v>
      </c>
      <c r="L46" s="333"/>
      <c r="M46" s="333"/>
      <c r="N46" s="333"/>
      <c r="O46" s="367"/>
      <c r="P46" s="367">
        <f>IF($A46="NEWCOD",IF($AC46="","No",$AC46),IF(ISTEXT($E46),"DEJA SAISI !",IF($A46="","",IF(ISERROR(VLOOKUP($A46,'liste reference'!A:S,19,FALSE)),IF(ISERROR(VLOOKUP($A46,'liste reference'!B:S,19,FALSE)),"",VLOOKUP($A46,'liste reference'!B:S,19,FALSE)),VLOOKUP($A46,'liste reference'!A:S,19,FALSE)))))</f>
        <v>1791</v>
      </c>
      <c r="Q46" s="222">
        <f t="shared" si="2"/>
        <v>0.005</v>
      </c>
      <c r="R46" s="223">
        <f t="shared" si="3"/>
        <v>1</v>
      </c>
      <c r="S46" s="223">
        <f t="shared" si="4"/>
        <v>12</v>
      </c>
      <c r="T46" s="223">
        <f t="shared" si="5"/>
        <v>12</v>
      </c>
      <c r="U46" s="225">
        <f t="shared" si="6"/>
        <v>1</v>
      </c>
      <c r="V46" s="287">
        <f t="shared" si="7"/>
      </c>
      <c r="W46" s="289" t="s">
        <v>1130</v>
      </c>
      <c r="Y46" s="324" t="str">
        <f>IF(A46="new.cod","NEWCOD",IF(AND((Z46=""),ISTEXT(A46)),A46,IF(Z46="","",INDEX('liste reference'!$A$8:$A$904,Z46))))</f>
        <v>MENAQU</v>
      </c>
      <c r="Z46" s="183">
        <f>IF(ISERROR(MATCH(A46,'liste reference'!$A$8:$A$904,0)),IF(ISERROR(MATCH(A46,'liste reference'!$B$8:$B$904,0)),"",(MATCH(A46,'liste reference'!$B$8:$B$904,0))),(MATCH(A46,'liste reference'!$A$8:$A$904,0)))</f>
        <v>607</v>
      </c>
      <c r="AA46" s="385"/>
      <c r="AB46" s="372"/>
      <c r="AC46" s="372"/>
      <c r="BB46" s="183">
        <f t="shared" si="8"/>
        <v>1</v>
      </c>
    </row>
    <row r="47" spans="1:54" ht="12.75">
      <c r="A47" s="322" t="s">
        <v>477</v>
      </c>
      <c r="B47" s="241">
        <v>0.7</v>
      </c>
      <c r="C47" s="242"/>
      <c r="D47" s="221" t="str">
        <f>IF(ISERROR(VLOOKUP($A47,'liste reference'!$A$7:$D$904,2,0)),IF(ISERROR(VLOOKUP($A47,'liste reference'!$B$7:$D$904,1,0)),"",VLOOKUP($A47,'liste reference'!$B$7:$D$904,1,0)),VLOOKUP($A47,'liste reference'!$A$7:$D$904,2,0))</f>
        <v>Phragmites australis</v>
      </c>
      <c r="E47" s="224" t="e">
        <f>IF(D47="",,VLOOKUP(D47,D$22:D46,1,0))</f>
        <v>#N/A</v>
      </c>
      <c r="F47" s="39">
        <f t="shared" si="1"/>
        <v>0.7</v>
      </c>
      <c r="G47" s="507" t="str">
        <f>IF(A47="","",IF(ISERROR(VLOOKUP($A47,'liste reference'!$A$7:$P$904,13,0)),IF(ISERROR(VLOOKUP($A47,'liste reference'!$B$7:$P$904,12,0)),"    -",VLOOKUP($A47,'liste reference'!$B$7:$P$904,12,0)),VLOOKUP($A47,'liste reference'!$A$7:$P$904,13,0)))</f>
        <v>PHe</v>
      </c>
      <c r="H47" s="508">
        <f>IF(A47="","x",IF(ISERROR(VLOOKUP($A47,'liste reference'!$A$8:$P$904,14,0)),IF(ISERROR(VLOOKUP($A47,'liste reference'!$B$8:$P$904,13,0)),"x",VLOOKUP($A47,'liste reference'!$B$8:$P$904,13,0)),VLOOKUP($A47,'liste reference'!$A$8:$P$904,14,0)))</f>
        <v>8</v>
      </c>
      <c r="I47" s="509">
        <f>IF(ISNUMBER(H47),IF(ISERROR(VLOOKUP($A47,'liste reference'!$A$7:$P$904,3,0)),IF(ISERROR(VLOOKUP($A47,'liste reference'!$B$7:$P$904,2,0)),"",VLOOKUP($A47,'liste reference'!$B$7:$P$904,2,0)),VLOOKUP($A47,'liste reference'!$A$7:$P$904,3,0)),"")</f>
        <v>9</v>
      </c>
      <c r="J47" s="509">
        <f>IF(ISNUMBER(H47),IF(ISERROR(VLOOKUP($A47,'liste reference'!$A$7:$P$904,4,0)),IF(ISERROR(VLOOKUP($A47,'liste reference'!$B$7:$P$904,3,0)),"",VLOOKUP($A47,'liste reference'!$B$7:$P$904,3,0)),VLOOKUP($A47,'liste reference'!$A$7:$P$904,4,0)),"")</f>
        <v>2</v>
      </c>
      <c r="K47" s="587" t="str">
        <f>IF(A47="NEWCOD",IF(AB47="","Remplir le champs 'Nouveau taxa' svp.",$AB47),IF(ISTEXT($E47),"DEJA SAISI !",IF(A47="","",IF(ISERROR(VLOOKUP($A47,'liste reference'!$A$7:$D$904,2,0)),IF(ISERROR(VLOOKUP($A47,'liste reference'!$B$7:$D$904,1,0)),"code non répertorié ou synonyme",VLOOKUP($A47,'liste reference'!$B$7:$D$904,1,0)),VLOOKUP(A47,'liste reference'!$A$7:$D$904,2,0)))))</f>
        <v>Phragmites australis</v>
      </c>
      <c r="L47" s="333"/>
      <c r="M47" s="333"/>
      <c r="N47" s="333"/>
      <c r="O47" s="367"/>
      <c r="P47" s="367">
        <f>IF($A47="NEWCOD",IF($AC47="","No",$AC47),IF(ISTEXT($E47),"DEJA SAISI !",IF($A47="","",IF(ISERROR(VLOOKUP($A47,'liste reference'!A:S,19,FALSE)),IF(ISERROR(VLOOKUP($A47,'liste reference'!B:S,19,FALSE)),"",VLOOKUP($A47,'liste reference'!B:S,19,FALSE)),VLOOKUP($A47,'liste reference'!A:S,19,FALSE)))))</f>
        <v>1579</v>
      </c>
      <c r="Q47" s="222">
        <f t="shared" si="2"/>
        <v>0.7</v>
      </c>
      <c r="R47" s="223">
        <f t="shared" si="3"/>
        <v>2</v>
      </c>
      <c r="S47" s="223">
        <f t="shared" si="4"/>
        <v>18</v>
      </c>
      <c r="T47" s="223">
        <f t="shared" si="5"/>
        <v>36</v>
      </c>
      <c r="U47" s="225">
        <f t="shared" si="6"/>
        <v>4</v>
      </c>
      <c r="V47" s="287">
        <f t="shared" si="7"/>
      </c>
      <c r="W47" s="289" t="s">
        <v>1130</v>
      </c>
      <c r="Y47" s="324" t="str">
        <f>IF(A47="new.cod","NEWCOD",IF(AND((Z47=""),ISTEXT(A47)),A47,IF(Z47="","",INDEX('liste reference'!$A$8:$A$904,Z47))))</f>
        <v>PHRAUS</v>
      </c>
      <c r="Z47" s="183">
        <f>IF(ISERROR(MATCH(A47,'liste reference'!$A$8:$A$904,0)),IF(ISERROR(MATCH(A47,'liste reference'!$B$8:$B$904,0)),"",(MATCH(A47,'liste reference'!$B$8:$B$904,0))),(MATCH(A47,'liste reference'!$A$8:$A$904,0)))</f>
        <v>635</v>
      </c>
      <c r="AA47" s="385"/>
      <c r="AB47" s="372"/>
      <c r="AC47" s="372"/>
      <c r="BB47" s="183">
        <f t="shared" si="8"/>
        <v>1</v>
      </c>
    </row>
    <row r="48" spans="1:54" ht="12.75">
      <c r="A48" s="322" t="s">
        <v>501</v>
      </c>
      <c r="B48" s="241">
        <v>0.01</v>
      </c>
      <c r="C48" s="242"/>
      <c r="D48" s="221" t="str">
        <f>IF(ISERROR(VLOOKUP($A48,'liste reference'!$A$7:$D$904,2,0)),IF(ISERROR(VLOOKUP($A48,'liste reference'!$B$7:$D$904,1,0)),"",VLOOKUP($A48,'liste reference'!$B$7:$D$904,1,0)),VLOOKUP($A48,'liste reference'!$A$7:$D$904,2,0))</f>
        <v>Scirpus lacustris</v>
      </c>
      <c r="E48" s="224" t="e">
        <f>IF(D48="",,VLOOKUP(D48,D$22:D47,1,0))</f>
        <v>#N/A</v>
      </c>
      <c r="F48" s="39">
        <f t="shared" si="1"/>
        <v>0.01</v>
      </c>
      <c r="G48" s="507" t="str">
        <f>IF(A48="","",IF(ISERROR(VLOOKUP($A48,'liste reference'!$A$7:$P$904,13,0)),IF(ISERROR(VLOOKUP($A48,'liste reference'!$B$7:$P$904,12,0)),"    -",VLOOKUP($A48,'liste reference'!$B$7:$P$904,12,0)),VLOOKUP($A48,'liste reference'!$A$7:$P$904,13,0)))</f>
        <v>PHe</v>
      </c>
      <c r="H48" s="508">
        <f>IF(A48="","x",IF(ISERROR(VLOOKUP($A48,'liste reference'!$A$8:$P$904,14,0)),IF(ISERROR(VLOOKUP($A48,'liste reference'!$B$8:$P$904,13,0)),"x",VLOOKUP($A48,'liste reference'!$B$8:$P$904,13,0)),VLOOKUP($A48,'liste reference'!$A$8:$P$904,14,0)))</f>
        <v>8</v>
      </c>
      <c r="I48" s="509">
        <f>IF(ISNUMBER(H48),IF(ISERROR(VLOOKUP($A48,'liste reference'!$A$7:$P$904,3,0)),IF(ISERROR(VLOOKUP($A48,'liste reference'!$B$7:$P$904,2,0)),"",VLOOKUP($A48,'liste reference'!$B$7:$P$904,2,0)),VLOOKUP($A48,'liste reference'!$A$7:$P$904,3,0)),"")</f>
        <v>8</v>
      </c>
      <c r="J48" s="509">
        <f>IF(ISNUMBER(H48),IF(ISERROR(VLOOKUP($A48,'liste reference'!$A$7:$P$904,4,0)),IF(ISERROR(VLOOKUP($A48,'liste reference'!$B$7:$P$904,3,0)),"",VLOOKUP($A48,'liste reference'!$B$7:$P$904,3,0)),VLOOKUP($A48,'liste reference'!$A$7:$P$904,4,0)),"")</f>
        <v>2</v>
      </c>
      <c r="K48" s="587" t="str">
        <f>IF(A48="NEWCOD",IF(AB48="","Remplir le champs 'Nouveau taxa' svp.",$AB48),IF(ISTEXT($E48),"DEJA SAISI !",IF(A48="","",IF(ISERROR(VLOOKUP($A48,'liste reference'!$A$7:$D$904,2,0)),IF(ISERROR(VLOOKUP($A48,'liste reference'!$B$7:$D$904,1,0)),"code non répertorié ou synonyme",VLOOKUP($A48,'liste reference'!$B$7:$D$904,1,0)),VLOOKUP(A48,'liste reference'!$A$7:$D$904,2,0)))))</f>
        <v>Scirpus lacustris</v>
      </c>
      <c r="L48" s="333"/>
      <c r="M48" s="333"/>
      <c r="N48" s="333"/>
      <c r="O48" s="367"/>
      <c r="P48" s="367">
        <f>IF($A48="NEWCOD",IF($AC48="","No",$AC48),IF(ISTEXT($E48),"DEJA SAISI !",IF($A48="","",IF(ISERROR(VLOOKUP($A48,'liste reference'!A:S,19,FALSE)),IF(ISERROR(VLOOKUP($A48,'liste reference'!B:S,19,FALSE)),"",VLOOKUP($A48,'liste reference'!B:S,19,FALSE)),VLOOKUP($A48,'liste reference'!A:S,19,FALSE)))))</f>
        <v>1520</v>
      </c>
      <c r="Q48" s="222">
        <f t="shared" si="2"/>
        <v>0.01</v>
      </c>
      <c r="R48" s="223">
        <f t="shared" si="3"/>
        <v>1</v>
      </c>
      <c r="S48" s="223">
        <f t="shared" si="4"/>
        <v>8</v>
      </c>
      <c r="T48" s="223">
        <f t="shared" si="5"/>
        <v>16</v>
      </c>
      <c r="U48" s="225">
        <f t="shared" si="6"/>
        <v>2</v>
      </c>
      <c r="V48" s="287">
        <f t="shared" si="7"/>
      </c>
      <c r="W48" s="289" t="s">
        <v>1130</v>
      </c>
      <c r="Y48" s="324" t="str">
        <f>IF(A48="new.cod","NEWCOD",IF(AND((Z48=""),ISTEXT(A48)),A48,IF(Z48="","",INDEX('liste reference'!$A$8:$A$904,Z48))))</f>
        <v>SCILAC</v>
      </c>
      <c r="Z48" s="183">
        <f>IF(ISERROR(MATCH(A48,'liste reference'!$A$8:$A$904,0)),IF(ISERROR(MATCH(A48,'liste reference'!$B$8:$B$904,0)),"",(MATCH(A48,'liste reference'!$B$8:$B$904,0))),(MATCH(A48,'liste reference'!$A$8:$A$904,0)))</f>
        <v>663</v>
      </c>
      <c r="AA48" s="385"/>
      <c r="AB48" s="372"/>
      <c r="AC48" s="372"/>
      <c r="BB48" s="183">
        <f t="shared" si="8"/>
        <v>1</v>
      </c>
    </row>
    <row r="49" spans="1:54" ht="12.75">
      <c r="A49" s="322" t="s">
        <v>516</v>
      </c>
      <c r="B49" s="241">
        <v>0.005</v>
      </c>
      <c r="C49" s="242"/>
      <c r="D49" s="221" t="str">
        <f>IF(ISERROR(VLOOKUP($A49,'liste reference'!$A$7:$D$904,2,0)),IF(ISERROR(VLOOKUP($A49,'liste reference'!$B$7:$D$904,1,0)),"",VLOOKUP($A49,'liste reference'!$B$7:$D$904,1,0)),VLOOKUP($A49,'liste reference'!$A$7:$D$904,2,0))</f>
        <v>Typha sp.</v>
      </c>
      <c r="E49" s="224" t="e">
        <f>IF(D49="",,VLOOKUP(D49,D$22:D48,1,0))</f>
        <v>#N/A</v>
      </c>
      <c r="F49" s="39">
        <f t="shared" si="1"/>
        <v>0.005</v>
      </c>
      <c r="G49" s="507" t="str">
        <f>IF(A49="","",IF(ISERROR(VLOOKUP($A49,'liste reference'!$A$7:$P$904,13,0)),IF(ISERROR(VLOOKUP($A49,'liste reference'!$B$7:$P$904,12,0)),"    -",VLOOKUP($A49,'liste reference'!$B$7:$P$904,12,0)),VLOOKUP($A49,'liste reference'!$A$7:$P$904,13,0)))</f>
        <v>PHe</v>
      </c>
      <c r="H49" s="508">
        <f>IF(A49="","x",IF(ISERROR(VLOOKUP($A49,'liste reference'!$A$8:$P$904,14,0)),IF(ISERROR(VLOOKUP($A49,'liste reference'!$B$8:$P$904,13,0)),"x",VLOOKUP($A49,'liste reference'!$B$8:$P$904,13,0)),VLOOKUP($A49,'liste reference'!$A$8:$P$904,14,0)))</f>
        <v>8</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t="str">
        <f>IF(A49="NEWCOD",IF(AB49="","Remplir le champs 'Nouveau taxa' svp.",$AB49),IF(ISTEXT($E49),"DEJA SAISI !",IF(A49="","",IF(ISERROR(VLOOKUP($A49,'liste reference'!$A$7:$D$904,2,0)),IF(ISERROR(VLOOKUP($A49,'liste reference'!$B$7:$D$904,1,0)),"code non répertorié ou synonyme",VLOOKUP($A49,'liste reference'!$B$7:$D$904,1,0)),VLOOKUP(A49,'liste reference'!$A$7:$D$904,2,0)))))</f>
        <v>Typha sp.</v>
      </c>
      <c r="L49" s="333"/>
      <c r="M49" s="333"/>
      <c r="N49" s="333"/>
      <c r="O49" s="367"/>
      <c r="P49" s="367">
        <f>IF($A49="NEWCOD",IF($AC49="","No",$AC49),IF(ISTEXT($E49),"DEJA SAISI !",IF($A49="","",IF(ISERROR(VLOOKUP($A49,'liste reference'!A:S,19,FALSE)),IF(ISERROR(VLOOKUP($A49,'liste reference'!B:S,19,FALSE)),"",VLOOKUP($A49,'liste reference'!B:S,19,FALSE)),VLOOKUP($A49,'liste reference'!A:S,19,FALSE)))))</f>
        <v>1674</v>
      </c>
      <c r="Q49" s="222">
        <f t="shared" si="2"/>
        <v>0.005</v>
      </c>
      <c r="R49" s="223">
        <f t="shared" si="3"/>
        <v>1</v>
      </c>
      <c r="S49" s="223">
        <f t="shared" si="4"/>
        <v>0</v>
      </c>
      <c r="T49" s="223">
        <f t="shared" si="5"/>
        <v>0</v>
      </c>
      <c r="U49" s="225">
        <f t="shared" si="6"/>
        <v>0</v>
      </c>
      <c r="V49" s="287">
        <f t="shared" si="7"/>
      </c>
      <c r="W49" s="289" t="s">
        <v>1130</v>
      </c>
      <c r="Y49" s="324" t="str">
        <f>IF(A49="new.cod","NEWCOD",IF(AND((Z49=""),ISTEXT(A49)),A49,IF(Z49="","",INDEX('liste reference'!$A$8:$A$904,Z49))))</f>
        <v>TYPSPX</v>
      </c>
      <c r="Z49" s="183">
        <f>IF(ISERROR(MATCH(A49,'liste reference'!$A$8:$A$904,0)),IF(ISERROR(MATCH(A49,'liste reference'!$B$8:$B$904,0)),"",(MATCH(A49,'liste reference'!$B$8:$B$904,0))),(MATCH(A49,'liste reference'!$A$8:$A$904,0)))</f>
        <v>681</v>
      </c>
      <c r="AA49" s="385"/>
      <c r="AB49" s="372"/>
      <c r="AC49" s="372"/>
      <c r="BB49" s="183">
        <f t="shared" si="8"/>
        <v>1</v>
      </c>
    </row>
    <row r="50" spans="1:54" ht="12.75">
      <c r="A50" s="322" t="s">
        <v>294</v>
      </c>
      <c r="B50" s="241">
        <v>0.04</v>
      </c>
      <c r="C50" s="242"/>
      <c r="D50" s="221" t="str">
        <f>IF(ISERROR(VLOOKUP($A50,'liste reference'!$A$7:$D$904,2,0)),IF(ISERROR(VLOOKUP($A50,'liste reference'!$B$7:$D$904,1,0)),"",VLOOKUP($A50,'liste reference'!$B$7:$D$904,1,0)),VLOOKUP($A50,'liste reference'!$A$7:$D$904,2,0))</f>
        <v>Juncus articulatus</v>
      </c>
      <c r="E50" s="224" t="e">
        <f>IF(D50="",,VLOOKUP(D50,D$22:D49,1,0))</f>
        <v>#N/A</v>
      </c>
      <c r="F50" s="39">
        <f t="shared" si="1"/>
        <v>0.04</v>
      </c>
      <c r="G50" s="507" t="str">
        <f>IF(A50="","",IF(ISERROR(VLOOKUP($A50,'liste reference'!$A$7:$P$904,13,0)),IF(ISERROR(VLOOKUP($A50,'liste reference'!$B$7:$P$904,12,0)),"    -",VLOOKUP($A50,'liste reference'!$B$7:$P$904,12,0)),VLOOKUP($A50,'liste reference'!$A$7:$P$904,13,0)))</f>
        <v>PHg</v>
      </c>
      <c r="H50" s="508">
        <f>IF(A50="","x",IF(ISERROR(VLOOKUP($A50,'liste reference'!$A$8:$P$904,14,0)),IF(ISERROR(VLOOKUP($A50,'liste reference'!$B$8:$P$904,13,0)),"x",VLOOKUP($A50,'liste reference'!$B$8:$P$904,13,0)),VLOOKUP($A50,'liste reference'!$A$8:$P$904,14,0)))</f>
        <v>9</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t="str">
        <f>IF(A50="NEWCOD",IF(AB50="","Remplir le champs 'Nouveau taxa' svp.",$AB50),IF(ISTEXT($E50),"DEJA SAISI !",IF(A50="","",IF(ISERROR(VLOOKUP($A50,'liste reference'!$A$7:$D$904,2,0)),IF(ISERROR(VLOOKUP($A50,'liste reference'!$B$7:$D$904,1,0)),"code non répertorié ou synonyme",VLOOKUP($A50,'liste reference'!$B$7:$D$904,1,0)),VLOOKUP(A50,'liste reference'!$A$7:$D$904,2,0)))))</f>
        <v>Juncus articulatus</v>
      </c>
      <c r="L50" s="333"/>
      <c r="M50" s="333"/>
      <c r="N50" s="333"/>
      <c r="O50" s="367"/>
      <c r="P50" s="367">
        <f>IF($A50="NEWCOD",IF($AC50="","No",$AC50),IF(ISTEXT($E50),"DEJA SAISI !",IF($A50="","",IF(ISERROR(VLOOKUP($A50,'liste reference'!A:S,19,FALSE)),IF(ISERROR(VLOOKUP($A50,'liste reference'!B:S,19,FALSE)),"",VLOOKUP($A50,'liste reference'!B:S,19,FALSE)),VLOOKUP($A50,'liste reference'!A:S,19,FALSE)))))</f>
        <v>1609</v>
      </c>
      <c r="Q50" s="222">
        <f t="shared" si="2"/>
        <v>0.04</v>
      </c>
      <c r="R50" s="223">
        <f t="shared" si="3"/>
        <v>1</v>
      </c>
      <c r="S50" s="223">
        <f t="shared" si="4"/>
        <v>0</v>
      </c>
      <c r="T50" s="223">
        <f t="shared" si="5"/>
        <v>0</v>
      </c>
      <c r="U50" s="225">
        <f t="shared" si="6"/>
        <v>0</v>
      </c>
      <c r="V50" s="287">
        <f t="shared" si="7"/>
      </c>
      <c r="W50" s="289" t="s">
        <v>1130</v>
      </c>
      <c r="Y50" s="324" t="str">
        <f>IF(A50="new.cod","NEWCOD",IF(AND((Z50=""),ISTEXT(A50)),A50,IF(Z50="","",INDEX('liste reference'!$A$8:$A$904,Z50))))</f>
        <v>JUNART</v>
      </c>
      <c r="Z50" s="183">
        <f>IF(ISERROR(MATCH(A50,'liste reference'!$A$8:$A$904,0)),IF(ISERROR(MATCH(A50,'liste reference'!$B$8:$B$904,0)),"",(MATCH(A50,'liste reference'!$B$8:$B$904,0))),(MATCH(A50,'liste reference'!$A$8:$A$904,0)))</f>
        <v>768</v>
      </c>
      <c r="AA50" s="385"/>
      <c r="AB50" s="372"/>
      <c r="AC50" s="372"/>
      <c r="BB50" s="183">
        <f t="shared" si="8"/>
        <v>1</v>
      </c>
    </row>
    <row r="51" spans="1:54" ht="12.75">
      <c r="A51" s="322" t="s">
        <v>299</v>
      </c>
      <c r="B51" s="241">
        <v>0.1</v>
      </c>
      <c r="C51" s="242"/>
      <c r="D51" s="221" t="str">
        <f>IF(ISERROR(VLOOKUP($A51,'liste reference'!$A$7:$D$904,2,0)),IF(ISERROR(VLOOKUP($A51,'liste reference'!$B$7:$D$904,1,0)),"",VLOOKUP($A51,'liste reference'!$B$7:$D$904,1,0)),VLOOKUP($A51,'liste reference'!$A$7:$D$904,2,0))</f>
        <v>Leersia oryzoides</v>
      </c>
      <c r="E51" s="224" t="e">
        <f>IF(D51="",,VLOOKUP(D51,D$22:D50,1,0))</f>
        <v>#N/A</v>
      </c>
      <c r="F51" s="39">
        <f t="shared" si="1"/>
        <v>0.1</v>
      </c>
      <c r="G51" s="507" t="str">
        <f>IF(A51="","",IF(ISERROR(VLOOKUP($A51,'liste reference'!$A$7:$P$904,13,0)),IF(ISERROR(VLOOKUP($A51,'liste reference'!$B$7:$P$904,12,0)),"    -",VLOOKUP($A51,'liste reference'!$B$7:$P$904,12,0)),VLOOKUP($A51,'liste reference'!$A$7:$P$904,13,0)))</f>
        <v>PHg</v>
      </c>
      <c r="H51" s="508">
        <f>IF(A51="","x",IF(ISERROR(VLOOKUP($A51,'liste reference'!$A$8:$P$904,14,0)),IF(ISERROR(VLOOKUP($A51,'liste reference'!$B$8:$P$904,13,0)),"x",VLOOKUP($A51,'liste reference'!$B$8:$P$904,13,0)),VLOOKUP($A51,'liste reference'!$A$8:$P$904,14,0)))</f>
        <v>9</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t="str">
        <f>IF(A51="NEWCOD",IF(AB51="","Remplir le champs 'Nouveau taxa' svp.",$AB51),IF(ISTEXT($E51),"DEJA SAISI !",IF(A51="","",IF(ISERROR(VLOOKUP($A51,'liste reference'!$A$7:$D$904,2,0)),IF(ISERROR(VLOOKUP($A51,'liste reference'!$B$7:$D$904,1,0)),"code non répertorié ou synonyme",VLOOKUP($A51,'liste reference'!$B$7:$D$904,1,0)),VLOOKUP(A51,'liste reference'!$A$7:$D$904,2,0)))))</f>
        <v>Leersia oryzoides</v>
      </c>
      <c r="L51" s="333"/>
      <c r="M51" s="333"/>
      <c r="N51" s="333"/>
      <c r="O51" s="367"/>
      <c r="P51" s="367">
        <f>IF($A51="NEWCOD",IF($AC51="","No",$AC51),IF(ISTEXT($E51),"DEJA SAISI !",IF($A51="","",IF(ISERROR(VLOOKUP($A51,'liste reference'!A:S,19,FALSE)),IF(ISERROR(VLOOKUP($A51,'liste reference'!B:S,19,FALSE)),"",VLOOKUP($A51,'liste reference'!B:S,19,FALSE)),VLOOKUP($A51,'liste reference'!A:S,19,FALSE)))))</f>
        <v>1569</v>
      </c>
      <c r="Q51" s="222">
        <f t="shared" si="2"/>
        <v>0.1</v>
      </c>
      <c r="R51" s="223">
        <f t="shared" si="3"/>
        <v>2</v>
      </c>
      <c r="S51" s="223">
        <f t="shared" si="4"/>
        <v>0</v>
      </c>
      <c r="T51" s="223">
        <f t="shared" si="5"/>
        <v>0</v>
      </c>
      <c r="U51" s="225">
        <f t="shared" si="6"/>
        <v>0</v>
      </c>
      <c r="V51" s="287">
        <f t="shared" si="7"/>
      </c>
      <c r="W51" s="289" t="s">
        <v>1130</v>
      </c>
      <c r="Y51" s="324" t="str">
        <f>IF(A51="new.cod","NEWCOD",IF(AND((Z51=""),ISTEXT(A51)),A51,IF(Z51="","",INDEX('liste reference'!$A$8:$A$904,Z51))))</f>
        <v>LEEORY</v>
      </c>
      <c r="Z51" s="183">
        <f>IF(ISERROR(MATCH(A51,'liste reference'!$A$8:$A$904,0)),IF(ISERROR(MATCH(A51,'liste reference'!$B$8:$B$904,0)),"",(MATCH(A51,'liste reference'!$B$8:$B$904,0))),(MATCH(A51,'liste reference'!$A$8:$A$904,0)))</f>
        <v>773</v>
      </c>
      <c r="AA51" s="385"/>
      <c r="AB51" s="372"/>
      <c r="AC51" s="372"/>
      <c r="BB51" s="183">
        <f t="shared" si="8"/>
        <v>1</v>
      </c>
    </row>
    <row r="52" spans="1:54" ht="12.75">
      <c r="A52" s="322" t="s">
        <v>205</v>
      </c>
      <c r="B52" s="241">
        <v>0.4</v>
      </c>
      <c r="C52" s="242"/>
      <c r="D52" s="221" t="str">
        <f>IF(ISERROR(VLOOKUP($A52,'liste reference'!$A$7:$D$904,2,0)),IF(ISERROR(VLOOKUP($A52,'liste reference'!$B$7:$D$904,1,0)),"",VLOOKUP($A52,'liste reference'!$B$7:$D$904,1,0)),VLOOKUP($A52,'liste reference'!$A$7:$D$904,2,0))</f>
        <v>Scirpus maritimus</v>
      </c>
      <c r="E52" s="224" t="e">
        <f>IF(D52="",,VLOOKUP(D52,D$22:D51,1,0))</f>
        <v>#N/A</v>
      </c>
      <c r="F52" s="39">
        <f t="shared" si="1"/>
        <v>0.4</v>
      </c>
      <c r="G52" s="507" t="str">
        <f>IF(A52="","",IF(ISERROR(VLOOKUP($A52,'liste reference'!$A$7:$P$904,13,0)),IF(ISERROR(VLOOKUP($A52,'liste reference'!$B$7:$P$904,12,0)),"    -",VLOOKUP($A52,'liste reference'!$B$7:$P$904,12,0)),VLOOKUP($A52,'liste reference'!$A$7:$P$904,13,0)))</f>
        <v>PHx</v>
      </c>
      <c r="H52" s="508">
        <f>IF(A52="","x",IF(ISERROR(VLOOKUP($A52,'liste reference'!$A$8:$P$904,14,0)),IF(ISERROR(VLOOKUP($A52,'liste reference'!$B$8:$P$904,13,0)),"x",VLOOKUP($A52,'liste reference'!$B$8:$P$904,13,0)),VLOOKUP($A52,'liste reference'!$A$8:$P$904,14,0)))</f>
        <v>10</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t="str">
        <f>IF(A52="NEWCOD",IF(AB52="","Remplir le champs 'Nouveau taxa' svp.",$AB52),IF(ISTEXT($E52),"DEJA SAISI !",IF(A52="","",IF(ISERROR(VLOOKUP($A52,'liste reference'!$A$7:$D$904,2,0)),IF(ISERROR(VLOOKUP($A52,'liste reference'!$B$7:$D$904,1,0)),"code non répertorié ou synonyme",VLOOKUP($A52,'liste reference'!$B$7:$D$904,1,0)),VLOOKUP(A52,'liste reference'!$A$7:$D$904,2,0)))))</f>
        <v>Scirpus maritimus</v>
      </c>
      <c r="L52" s="333"/>
      <c r="M52" s="333"/>
      <c r="N52" s="333"/>
      <c r="O52" s="367"/>
      <c r="P52" s="367">
        <f>IF($A52="NEWCOD",IF($AC52="","No",$AC52),IF(ISTEXT($E52),"DEJA SAISI !",IF($A52="","",IF(ISERROR(VLOOKUP($A52,'liste reference'!A:S,19,FALSE)),IF(ISERROR(VLOOKUP($A52,'liste reference'!B:S,19,FALSE)),"",VLOOKUP($A52,'liste reference'!B:S,19,FALSE)),VLOOKUP($A52,'liste reference'!A:S,19,FALSE)))))</f>
        <v>1522</v>
      </c>
      <c r="Q52" s="222">
        <f t="shared" si="2"/>
        <v>0.4</v>
      </c>
      <c r="R52" s="223">
        <f t="shared" si="3"/>
        <v>2</v>
      </c>
      <c r="S52" s="223">
        <f t="shared" si="4"/>
        <v>0</v>
      </c>
      <c r="T52" s="223">
        <f t="shared" si="5"/>
        <v>0</v>
      </c>
      <c r="U52" s="225">
        <f t="shared" si="6"/>
        <v>0</v>
      </c>
      <c r="V52" s="287">
        <f t="shared" si="7"/>
      </c>
      <c r="W52" s="289" t="s">
        <v>1130</v>
      </c>
      <c r="Y52" s="324" t="str">
        <f>IF(A52="new.cod","NEWCOD",IF(AND((Z52=""),ISTEXT(A52)),A52,IF(Z52="","",INDEX('liste reference'!$A$8:$A$904,Z52))))</f>
        <v>SCIMAR</v>
      </c>
      <c r="Z52" s="183">
        <f>IF(ISERROR(MATCH(A52,'liste reference'!$A$8:$A$904,0)),IF(ISERROR(MATCH(A52,'liste reference'!$B$8:$B$904,0)),"",(MATCH(A52,'liste reference'!$B$8:$B$904,0))),(MATCH(A52,'liste reference'!$A$8:$A$904,0)))</f>
        <v>881</v>
      </c>
      <c r="AA52" s="385"/>
      <c r="AB52" s="372"/>
      <c r="AC52" s="372"/>
      <c r="BB52" s="183">
        <f t="shared" si="8"/>
        <v>1</v>
      </c>
    </row>
    <row r="53" spans="1:54" ht="12.75">
      <c r="A53" s="322" t="s">
        <v>2723</v>
      </c>
      <c r="B53" s="241">
        <v>0.005</v>
      </c>
      <c r="C53" s="242"/>
      <c r="D53" s="221">
        <f>IF(ISERROR(VLOOKUP($A53,'liste reference'!$A$7:$D$904,2,0)),IF(ISERROR(VLOOKUP($A53,'liste reference'!$B$7:$D$904,1,0)),"",VLOOKUP($A53,'liste reference'!$B$7:$D$904,1,0)),VLOOKUP($A53,'liste reference'!$A$7:$D$904,2,0))</f>
      </c>
      <c r="E53" s="224">
        <f>IF(D53="",,VLOOKUP(D53,D$22:D52,1,0))</f>
        <v>0</v>
      </c>
      <c r="F53" s="39">
        <f t="shared" si="1"/>
        <v>0.005</v>
      </c>
      <c r="G53" s="507" t="str">
        <f>IF(A53="","",IF(ISERROR(VLOOKUP($A53,'liste reference'!$A$7:$P$904,13,0)),IF(ISERROR(VLOOKUP($A53,'liste reference'!$B$7:$P$904,12,0)),"    -",VLOOKUP($A53,'liste reference'!$B$7:$P$904,12,0)),VLOOKUP($A53,'liste reference'!$A$7:$P$904,13,0)))</f>
        <v>    -</v>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t="str">
        <f>IF(A53="NEWCOD",IF(AB53="","Remplir le champs 'Nouveau taxa' svp.",$AB53),IF(ISTEXT($E53),"DEJA SAISI !",IF(A53="","",IF(ISERROR(VLOOKUP($A53,'liste reference'!$A$7:$D$904,2,0)),IF(ISERROR(VLOOKUP($A53,'liste reference'!$B$7:$D$904,1,0)),"code non répertorié ou synonyme",VLOOKUP($A53,'liste reference'!$B$7:$D$904,1,0)),VLOOKUP(A53,'liste reference'!$A$7:$D$904,2,0)))))</f>
        <v>Xanthium orientale italicum</v>
      </c>
      <c r="L53" s="333"/>
      <c r="M53" s="333"/>
      <c r="N53" s="333"/>
      <c r="O53" s="367"/>
      <c r="P53" s="367" t="str">
        <f>IF($A53="NEWCOD",IF($AC53="","No",$AC53),IF(ISTEXT($E53),"DEJA SAISI !",IF($A53="","",IF(ISERROR(VLOOKUP($A53,'liste reference'!A:S,19,FALSE)),IF(ISERROR(VLOOKUP($A53,'liste reference'!B:S,19,FALSE)),"",VLOOKUP($A53,'liste reference'!B:S,19,FALSE)),VLOOKUP($A53,'liste reference'!A:S,19,FALSE)))))</f>
        <v>No</v>
      </c>
      <c r="Q53" s="222">
        <f t="shared" si="2"/>
      </c>
      <c r="R53" s="223">
        <f t="shared" si="3"/>
      </c>
      <c r="S53" s="223">
        <f t="shared" si="4"/>
        <v>0</v>
      </c>
      <c r="T53" s="223">
        <f t="shared" si="5"/>
        <v>0</v>
      </c>
      <c r="U53" s="225">
        <f t="shared" si="6"/>
        <v>0</v>
      </c>
      <c r="V53" s="287">
        <f t="shared" si="7"/>
      </c>
      <c r="W53" s="289" t="s">
        <v>1130</v>
      </c>
      <c r="Y53" s="324" t="str">
        <f>IF(A53="new.cod","NEWCOD",IF(AND((Z53=""),ISTEXT(A53)),A53,IF(Z53="","",INDEX('liste reference'!$A$8:$A$904,Z53))))</f>
        <v>NEWCOD</v>
      </c>
      <c r="Z53" s="183">
        <f>IF(ISERROR(MATCH(A53,'liste reference'!$A$8:$A$904,0)),IF(ISERROR(MATCH(A53,'liste reference'!$B$8:$B$904,0)),"",(MATCH(A53,'liste reference'!$B$8:$B$904,0))),(MATCH(A53,'liste reference'!$A$8:$A$904,0)))</f>
      </c>
      <c r="AA53" s="385"/>
      <c r="AB53" s="372" t="s">
        <v>2724</v>
      </c>
      <c r="AC53" s="372"/>
      <c r="BB53" s="183">
        <f t="shared" si="8"/>
        <v>1</v>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6">IF(OR(ISTEXT(H55),Q55=0),"",IF(Q55&lt;0.1,1,IF(Q55&lt;1,2,IF(Q55&lt;10,3,IF(Q55&lt;50,4,IF(Q55&gt;=50,5,""))))))</f>
      </c>
      <c r="S55" s="223">
        <f aca="true" t="shared" si="12" ref="S55:S86">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Eygues</v>
      </c>
      <c r="B84" s="231" t="str">
        <f>C3</f>
        <v>Caderousse</v>
      </c>
      <c r="C84" s="232">
        <f>A4</f>
        <v>41870</v>
      </c>
      <c r="D84" s="233">
        <f>IF(ISERROR(SUM($T$23:$T$82)/SUM($U$23:$U$82)),"",SUM($T$23:$T$82)/SUM($U$23:$U$82))</f>
        <v>8.140845070422536</v>
      </c>
      <c r="E84" s="234">
        <f>N13</f>
        <v>31</v>
      </c>
      <c r="F84" s="231">
        <f>N14</f>
        <v>19</v>
      </c>
      <c r="G84" s="231">
        <f>N15</f>
        <v>6</v>
      </c>
      <c r="H84" s="231">
        <f>N16</f>
        <v>11</v>
      </c>
      <c r="I84" s="231">
        <f>N17</f>
        <v>2</v>
      </c>
      <c r="J84" s="235">
        <f>N8</f>
        <v>9.105263157894736</v>
      </c>
      <c r="K84" s="233">
        <f>N9</f>
        <v>3.07613456762157</v>
      </c>
      <c r="L84" s="234">
        <f>N10</f>
        <v>2</v>
      </c>
      <c r="M84" s="234">
        <f>N11</f>
        <v>13</v>
      </c>
      <c r="N84" s="233">
        <f>O8</f>
        <v>1.7894736842105263</v>
      </c>
      <c r="O84" s="233">
        <f>O9</f>
        <v>0.6137844099837159</v>
      </c>
      <c r="P84" s="234">
        <f>O10</f>
        <v>1</v>
      </c>
      <c r="Q84" s="234">
        <f>O11</f>
        <v>3</v>
      </c>
      <c r="R84" s="234">
        <f>F21</f>
        <v>71.23500000000001</v>
      </c>
      <c r="S84" s="234">
        <f>K11</f>
        <v>0</v>
      </c>
      <c r="T84" s="234">
        <f>K12</f>
        <v>4</v>
      </c>
      <c r="U84" s="234">
        <f>K13</f>
        <v>2</v>
      </c>
      <c r="V84" s="236">
        <f>K14</f>
        <v>1</v>
      </c>
      <c r="W84" s="237">
        <f>K15</f>
        <v>23</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52</v>
      </c>
      <c r="T87" s="183"/>
      <c r="U87" s="183"/>
      <c r="V87" s="183"/>
    </row>
    <row r="88" spans="16:22" ht="12.75" hidden="1">
      <c r="P88" s="183"/>
      <c r="Q88" s="183" t="s">
        <v>1138</v>
      </c>
      <c r="R88" s="183"/>
      <c r="S88" s="287">
        <f>VLOOKUP((S87),($S$23:$U$82),2,0)</f>
        <v>52</v>
      </c>
      <c r="T88" s="183"/>
      <c r="U88" s="183"/>
      <c r="V88" s="183"/>
    </row>
    <row r="89" spans="17:20" ht="12.75" hidden="1">
      <c r="Q89" s="183" t="s">
        <v>1139</v>
      </c>
      <c r="R89" s="183"/>
      <c r="S89" s="287">
        <f>VLOOKUP((S87),($S$23:$U$82),3,0)</f>
        <v>4</v>
      </c>
      <c r="T89" s="183"/>
    </row>
    <row r="90" spans="17:20" ht="12.75">
      <c r="Q90" s="183" t="s">
        <v>1140</v>
      </c>
      <c r="R90" s="183"/>
      <c r="S90" s="291">
        <f>IF(ISERROR(SUM($T$23:$T$82)/SUM($U$23:$U$82)),"",(SUM($T$23:$T$82)-S88)/(SUM($U$23:$U$82)-S89))</f>
        <v>7.850746268656716</v>
      </c>
      <c r="T90" s="183"/>
    </row>
    <row r="91" spans="17:21" ht="12.75">
      <c r="Q91" s="223" t="s">
        <v>1613</v>
      </c>
      <c r="R91" s="223"/>
      <c r="S91" s="223" t="str">
        <f>INDEX('liste reference'!$A$8:$A$904,$T$91)</f>
        <v>CHAVUL</v>
      </c>
      <c r="T91" s="183">
        <f>IF(ISERROR(MATCH($S$93,'liste reference'!$A$8:$A$904,0)),MATCH($S$93,'liste reference'!$B$8:$B$904,0),(MATCH($S$93,'liste reference'!$A$8:$A$904,0)))</f>
        <v>20</v>
      </c>
      <c r="U91" s="229"/>
    </row>
    <row r="92" spans="17:20" ht="12.75">
      <c r="Q92" s="183" t="s">
        <v>1371</v>
      </c>
      <c r="R92" s="183"/>
      <c r="S92" s="183">
        <f>MATCH(S87,$S$23:$S$82,0)</f>
        <v>1</v>
      </c>
      <c r="T92" s="183"/>
    </row>
    <row r="93" spans="17:20" ht="12.75">
      <c r="Q93" s="223" t="s">
        <v>1370</v>
      </c>
      <c r="R93" s="183"/>
      <c r="S93" s="223" t="str">
        <f>INDEX($A$23:$A$82,$S$92)</f>
        <v>CHAVUL</v>
      </c>
      <c r="T93" s="183"/>
    </row>
    <row r="94" ht="12.75">
      <c r="S94" s="229"/>
    </row>
  </sheetData>
  <sheetProtection password="C39F" sheet="1" objects="1" scenarios="1"/>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W19" sqref="W19"/>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2578</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1871</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2576</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7" t="s">
        <v>2570</v>
      </c>
      <c r="J14" s="616"/>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1874</v>
      </c>
      <c r="C8" s="112"/>
      <c r="D8" s="113"/>
    </row>
    <row r="9" spans="1:4" ht="15">
      <c r="A9" s="454" t="s">
        <v>363</v>
      </c>
      <c r="B9" s="453" t="s">
        <v>1400</v>
      </c>
      <c r="C9" s="114"/>
      <c r="D9" s="115"/>
    </row>
    <row r="10" spans="1:4" ht="15">
      <c r="A10" s="452" t="s">
        <v>364</v>
      </c>
      <c r="B10" s="453" t="s">
        <v>1876</v>
      </c>
      <c r="C10" s="114"/>
      <c r="D10" s="115"/>
    </row>
    <row r="11" spans="1:4" ht="15">
      <c r="A11" s="452" t="s">
        <v>365</v>
      </c>
      <c r="B11" s="453" t="s">
        <v>195</v>
      </c>
      <c r="C11" s="114"/>
      <c r="D11" s="115"/>
    </row>
    <row r="12" spans="1:4" ht="15">
      <c r="A12" s="452" t="s">
        <v>683</v>
      </c>
      <c r="B12" s="453" t="s">
        <v>2676</v>
      </c>
      <c r="C12" s="114"/>
      <c r="D12" s="115"/>
    </row>
    <row r="13" spans="1:4" ht="15">
      <c r="A13" s="452" t="s">
        <v>215</v>
      </c>
      <c r="B13" s="453" t="s">
        <v>2677</v>
      </c>
      <c r="C13" s="114"/>
      <c r="D13" s="115"/>
    </row>
    <row r="14" spans="1:4" ht="15">
      <c r="A14" s="452" t="s">
        <v>216</v>
      </c>
      <c r="B14" s="453" t="s">
        <v>1473</v>
      </c>
      <c r="C14" s="114"/>
      <c r="D14" s="115"/>
    </row>
    <row r="15" spans="1:9" ht="15">
      <c r="A15" s="452" t="s">
        <v>217</v>
      </c>
      <c r="B15" s="453" t="s">
        <v>1877</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1878</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1885</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1886</v>
      </c>
      <c r="C28" s="114"/>
      <c r="D28" s="115"/>
      <c r="F28" s="380" t="s">
        <v>1149</v>
      </c>
    </row>
    <row r="29" spans="1:6" ht="15">
      <c r="A29" s="452" t="s">
        <v>522</v>
      </c>
      <c r="B29" s="453" t="s">
        <v>1887</v>
      </c>
      <c r="C29" s="114"/>
      <c r="D29" s="115"/>
      <c r="F29" s="382" t="s">
        <v>1147</v>
      </c>
    </row>
    <row r="30" spans="1:6" ht="15">
      <c r="A30" s="452" t="s">
        <v>223</v>
      </c>
      <c r="B30" s="453" t="s">
        <v>1888</v>
      </c>
      <c r="C30" s="114"/>
      <c r="D30" s="115"/>
      <c r="F30" s="381"/>
    </row>
    <row r="31" spans="1:4" ht="15">
      <c r="A31" s="452" t="s">
        <v>712</v>
      </c>
      <c r="B31" s="453" t="s">
        <v>79</v>
      </c>
      <c r="C31" s="114"/>
      <c r="D31" s="115"/>
    </row>
    <row r="32" spans="1:4" ht="15">
      <c r="A32" s="452" t="s">
        <v>713</v>
      </c>
      <c r="B32" s="453" t="s">
        <v>1891</v>
      </c>
      <c r="C32" s="114"/>
      <c r="D32" s="115"/>
    </row>
    <row r="33" spans="1:4" ht="15">
      <c r="A33" s="452" t="s">
        <v>714</v>
      </c>
      <c r="B33" s="453" t="s">
        <v>1895</v>
      </c>
      <c r="C33" s="114"/>
      <c r="D33" s="115"/>
    </row>
    <row r="34" spans="1:6" ht="15">
      <c r="A34" s="452" t="s">
        <v>715</v>
      </c>
      <c r="B34" s="453" t="s">
        <v>1896</v>
      </c>
      <c r="C34" s="114"/>
      <c r="D34" s="115"/>
      <c r="F34" s="380" t="s">
        <v>2571</v>
      </c>
    </row>
    <row r="35" spans="1:6" ht="15">
      <c r="A35" s="452" t="s">
        <v>887</v>
      </c>
      <c r="B35" s="453" t="s">
        <v>1579</v>
      </c>
      <c r="C35" s="114"/>
      <c r="D35" s="115"/>
      <c r="F35" s="382" t="s">
        <v>2572</v>
      </c>
    </row>
    <row r="36" spans="1:6" ht="15">
      <c r="A36" s="454" t="s">
        <v>829</v>
      </c>
      <c r="B36" s="453" t="s">
        <v>1899</v>
      </c>
      <c r="C36" s="114"/>
      <c r="D36" s="115"/>
      <c r="F36" s="495" t="s">
        <v>2573</v>
      </c>
    </row>
    <row r="37" spans="1:6" ht="15">
      <c r="A37" s="452" t="s">
        <v>224</v>
      </c>
      <c r="B37" s="453" t="s">
        <v>2708</v>
      </c>
      <c r="C37" s="114"/>
      <c r="D37" s="115"/>
      <c r="F37" s="495" t="s">
        <v>2575</v>
      </c>
    </row>
    <row r="38" spans="1:6" ht="15">
      <c r="A38" s="452" t="s">
        <v>225</v>
      </c>
      <c r="B38" s="453" t="s">
        <v>1478</v>
      </c>
      <c r="C38" s="114"/>
      <c r="D38" s="115"/>
      <c r="F38" s="495" t="s">
        <v>2574</v>
      </c>
    </row>
    <row r="39" spans="1:6" ht="15">
      <c r="A39" s="452" t="s">
        <v>888</v>
      </c>
      <c r="B39" s="453" t="s">
        <v>1580</v>
      </c>
      <c r="C39" s="114"/>
      <c r="D39" s="115"/>
      <c r="F39" s="497"/>
    </row>
    <row r="40" spans="1:4" ht="15">
      <c r="A40" s="454" t="s">
        <v>523</v>
      </c>
      <c r="B40" s="453" t="s">
        <v>1902</v>
      </c>
      <c r="C40" s="114"/>
      <c r="D40" s="115"/>
    </row>
    <row r="41" spans="1:4" ht="15">
      <c r="A41" s="454" t="s">
        <v>524</v>
      </c>
      <c r="B41" s="453" t="s">
        <v>1903</v>
      </c>
      <c r="C41" s="114"/>
      <c r="D41" s="115"/>
    </row>
    <row r="42" spans="1:4" ht="15">
      <c r="A42" s="452" t="s">
        <v>371</v>
      </c>
      <c r="B42" s="453" t="s">
        <v>1405</v>
      </c>
      <c r="C42" s="114"/>
      <c r="D42" s="115"/>
    </row>
    <row r="43" spans="1:4" ht="15">
      <c r="A43" s="452" t="s">
        <v>372</v>
      </c>
      <c r="B43" s="453" t="s">
        <v>1519</v>
      </c>
      <c r="C43" s="114"/>
      <c r="D43" s="115"/>
    </row>
    <row r="44" spans="1:4" ht="15">
      <c r="A44" s="452" t="s">
        <v>2601</v>
      </c>
      <c r="B44" s="453" t="s">
        <v>1904</v>
      </c>
      <c r="C44" s="114"/>
      <c r="D44" s="115"/>
    </row>
    <row r="45" spans="1:4" ht="15">
      <c r="A45" s="452" t="s">
        <v>525</v>
      </c>
      <c r="B45" s="453" t="s">
        <v>1905</v>
      </c>
      <c r="C45" s="114"/>
      <c r="D45" s="115"/>
    </row>
    <row r="46" spans="1:4" ht="15">
      <c r="A46" s="452" t="s">
        <v>226</v>
      </c>
      <c r="B46" s="453" t="s">
        <v>1906</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2679</v>
      </c>
      <c r="C51" s="114"/>
      <c r="D51" s="115"/>
    </row>
    <row r="52" spans="1:4" ht="15">
      <c r="A52" s="452" t="s">
        <v>685</v>
      </c>
      <c r="B52" s="453" t="s">
        <v>1910</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1911</v>
      </c>
      <c r="C55" s="114"/>
      <c r="D55" s="115"/>
    </row>
    <row r="56" spans="1:4" ht="15">
      <c r="A56" s="452" t="s">
        <v>1656</v>
      </c>
      <c r="B56" s="453" t="s">
        <v>1912</v>
      </c>
      <c r="C56" s="114"/>
      <c r="D56" s="115"/>
    </row>
    <row r="57" spans="1:4" ht="15">
      <c r="A57" s="452" t="s">
        <v>374</v>
      </c>
      <c r="B57" s="453" t="s">
        <v>1406</v>
      </c>
      <c r="C57" s="114"/>
      <c r="D57" s="115"/>
    </row>
    <row r="58" spans="1:4" ht="15">
      <c r="A58" s="452" t="s">
        <v>375</v>
      </c>
      <c r="B58" s="453" t="s">
        <v>2707</v>
      </c>
      <c r="C58" s="114"/>
      <c r="D58" s="115"/>
    </row>
    <row r="59" spans="1:4" ht="15">
      <c r="A59" s="452" t="s">
        <v>376</v>
      </c>
      <c r="B59" s="453" t="s">
        <v>1914</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1917</v>
      </c>
      <c r="C63" s="114"/>
      <c r="D63" s="115"/>
    </row>
    <row r="64" spans="1:4" ht="15">
      <c r="A64" s="452" t="s">
        <v>1657</v>
      </c>
      <c r="B64" s="453" t="s">
        <v>1920</v>
      </c>
      <c r="C64" s="114"/>
      <c r="D64" s="115"/>
    </row>
    <row r="65" spans="1:4" ht="15">
      <c r="A65" s="452" t="s">
        <v>1658</v>
      </c>
      <c r="B65" s="453" t="s">
        <v>1921</v>
      </c>
      <c r="C65" s="114"/>
      <c r="D65" s="115"/>
    </row>
    <row r="66" spans="1:4" ht="15">
      <c r="A66" s="452" t="s">
        <v>377</v>
      </c>
      <c r="B66" s="453" t="s">
        <v>1922</v>
      </c>
      <c r="C66" s="114"/>
      <c r="D66" s="115"/>
    </row>
    <row r="67" spans="1:4" ht="15">
      <c r="A67" s="454" t="s">
        <v>378</v>
      </c>
      <c r="B67" s="453" t="s">
        <v>1923</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1925</v>
      </c>
      <c r="C70" s="114"/>
      <c r="D70" s="115"/>
    </row>
    <row r="71" spans="1:4" ht="15">
      <c r="A71" s="452" t="s">
        <v>232</v>
      </c>
      <c r="B71" s="453" t="s">
        <v>1926</v>
      </c>
      <c r="C71" s="114"/>
      <c r="D71" s="115"/>
    </row>
    <row r="72" spans="1:4" ht="15">
      <c r="A72" s="454" t="s">
        <v>892</v>
      </c>
      <c r="B72" s="453" t="s">
        <v>1927</v>
      </c>
      <c r="C72" s="114"/>
      <c r="D72" s="115"/>
    </row>
    <row r="73" spans="1:4" ht="15">
      <c r="A73" s="452" t="s">
        <v>688</v>
      </c>
      <c r="B73" s="453" t="s">
        <v>123</v>
      </c>
      <c r="C73" s="114"/>
      <c r="D73" s="115"/>
    </row>
    <row r="74" spans="1:4" ht="15">
      <c r="A74" s="452" t="s">
        <v>718</v>
      </c>
      <c r="B74" s="453" t="s">
        <v>1928</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2680</v>
      </c>
      <c r="C80" s="114"/>
      <c r="D80" s="115"/>
    </row>
    <row r="81" spans="1:4" ht="15">
      <c r="A81" s="452" t="s">
        <v>233</v>
      </c>
      <c r="B81" s="453" t="s">
        <v>1483</v>
      </c>
      <c r="C81" s="114"/>
      <c r="D81" s="115"/>
    </row>
    <row r="82" spans="1:4" ht="15">
      <c r="A82" s="452" t="s">
        <v>723</v>
      </c>
      <c r="B82" s="453" t="s">
        <v>1931</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1940</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1943</v>
      </c>
      <c r="C89" s="114"/>
      <c r="D89" s="115"/>
    </row>
    <row r="90" spans="1:4" ht="15">
      <c r="A90" s="452" t="s">
        <v>526</v>
      </c>
      <c r="B90" s="453" t="s">
        <v>130</v>
      </c>
      <c r="C90" s="114"/>
      <c r="D90" s="115"/>
    </row>
    <row r="91" spans="1:4" ht="15">
      <c r="A91" s="452" t="s">
        <v>527</v>
      </c>
      <c r="B91" s="453" t="s">
        <v>1942</v>
      </c>
      <c r="C91" s="114"/>
      <c r="D91" s="115"/>
    </row>
    <row r="92" spans="1:4" ht="15">
      <c r="A92" s="452" t="s">
        <v>1955</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1950</v>
      </c>
      <c r="C98" s="114"/>
      <c r="D98" s="115"/>
    </row>
    <row r="99" spans="1:4" ht="15">
      <c r="A99" s="452" t="s">
        <v>733</v>
      </c>
      <c r="B99" s="453" t="s">
        <v>1953</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1957</v>
      </c>
      <c r="C102" s="114"/>
      <c r="D102" s="115"/>
    </row>
    <row r="103" spans="1:4" ht="15">
      <c r="A103" s="454" t="s">
        <v>532</v>
      </c>
      <c r="B103" s="453" t="s">
        <v>133</v>
      </c>
      <c r="C103" s="114"/>
      <c r="D103" s="115"/>
    </row>
    <row r="104" spans="1:4" ht="15">
      <c r="A104" s="452" t="s">
        <v>533</v>
      </c>
      <c r="B104" s="453" t="s">
        <v>2681</v>
      </c>
      <c r="C104" s="114"/>
      <c r="D104" s="115"/>
    </row>
    <row r="105" spans="1:4" ht="15">
      <c r="A105" s="452" t="s">
        <v>534</v>
      </c>
      <c r="B105" s="453" t="s">
        <v>1958</v>
      </c>
      <c r="C105" s="114"/>
      <c r="D105" s="115"/>
    </row>
    <row r="106" spans="1:4" ht="15">
      <c r="A106" s="452" t="s">
        <v>535</v>
      </c>
      <c r="B106" s="453" t="s">
        <v>1959</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1960</v>
      </c>
      <c r="C110" s="114"/>
      <c r="D110" s="115"/>
    </row>
    <row r="111" spans="1:4" ht="15">
      <c r="A111" s="452" t="s">
        <v>540</v>
      </c>
      <c r="B111" s="453" t="s">
        <v>1961</v>
      </c>
      <c r="C111" s="114"/>
      <c r="D111" s="115"/>
    </row>
    <row r="112" spans="1:4" ht="15">
      <c r="A112" s="452" t="s">
        <v>528</v>
      </c>
      <c r="B112" s="453" t="s">
        <v>1962</v>
      </c>
      <c r="C112" s="114"/>
      <c r="D112" s="115"/>
    </row>
    <row r="113" spans="1:4" ht="15">
      <c r="A113" s="454" t="s">
        <v>541</v>
      </c>
      <c r="B113" s="453" t="s">
        <v>137</v>
      </c>
      <c r="C113" s="114"/>
      <c r="D113" s="115"/>
    </row>
    <row r="114" spans="1:4" ht="15">
      <c r="A114" s="452" t="s">
        <v>2603</v>
      </c>
      <c r="B114" s="453" t="s">
        <v>2602</v>
      </c>
      <c r="C114" s="114"/>
      <c r="D114" s="115"/>
    </row>
    <row r="115" spans="1:4" ht="15">
      <c r="A115" s="454" t="s">
        <v>2604</v>
      </c>
      <c r="B115" s="453" t="s">
        <v>1590</v>
      </c>
      <c r="C115" s="114"/>
      <c r="D115" s="115"/>
    </row>
    <row r="116" spans="1:4" ht="15">
      <c r="A116" s="452" t="s">
        <v>2605</v>
      </c>
      <c r="B116" s="453" t="s">
        <v>1963</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1973</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1974</v>
      </c>
      <c r="C124" s="114"/>
      <c r="D124" s="115"/>
    </row>
    <row r="125" spans="1:4" ht="15">
      <c r="A125" s="452" t="s">
        <v>389</v>
      </c>
      <c r="B125" s="453" t="s">
        <v>1976</v>
      </c>
      <c r="C125" s="114"/>
      <c r="D125" s="115"/>
    </row>
    <row r="126" spans="1:4" ht="15">
      <c r="A126" s="452" t="s">
        <v>1659</v>
      </c>
      <c r="B126" s="453" t="s">
        <v>1114</v>
      </c>
      <c r="C126" s="114"/>
      <c r="D126" s="115"/>
    </row>
    <row r="127" spans="1:4" ht="15">
      <c r="A127" s="452" t="s">
        <v>1660</v>
      </c>
      <c r="B127" s="453" t="s">
        <v>1977</v>
      </c>
      <c r="C127" s="114"/>
      <c r="D127" s="115"/>
    </row>
    <row r="128" spans="1:4" ht="15">
      <c r="A128" s="452" t="s">
        <v>239</v>
      </c>
      <c r="B128" s="453" t="s">
        <v>1978</v>
      </c>
      <c r="C128" s="114"/>
      <c r="D128" s="115"/>
    </row>
    <row r="129" spans="1:4" ht="15">
      <c r="A129" s="452" t="s">
        <v>390</v>
      </c>
      <c r="B129" s="453" t="s">
        <v>1411</v>
      </c>
      <c r="C129" s="114"/>
      <c r="D129" s="115"/>
    </row>
    <row r="130" spans="1:4" ht="15">
      <c r="A130" s="452" t="s">
        <v>1661</v>
      </c>
      <c r="B130" s="453" t="s">
        <v>1979</v>
      </c>
      <c r="C130" s="114"/>
      <c r="D130" s="115"/>
    </row>
    <row r="131" spans="1:4" ht="15">
      <c r="A131" s="452" t="s">
        <v>240</v>
      </c>
      <c r="B131" s="453" t="s">
        <v>1980</v>
      </c>
      <c r="C131" s="114"/>
      <c r="D131" s="115"/>
    </row>
    <row r="132" spans="1:4" ht="15">
      <c r="A132" s="452" t="s">
        <v>241</v>
      </c>
      <c r="B132" s="453" t="s">
        <v>1981</v>
      </c>
      <c r="C132" s="114"/>
      <c r="D132" s="115"/>
    </row>
    <row r="133" spans="1:4" ht="15">
      <c r="A133" s="452" t="s">
        <v>242</v>
      </c>
      <c r="B133" s="453" t="s">
        <v>1982</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1983</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1972</v>
      </c>
      <c r="B144" s="453" t="s">
        <v>1484</v>
      </c>
      <c r="C144" s="114"/>
      <c r="D144" s="115"/>
    </row>
    <row r="145" spans="1:4" ht="15">
      <c r="A145" s="454" t="s">
        <v>400</v>
      </c>
      <c r="B145" s="453" t="s">
        <v>1419</v>
      </c>
      <c r="C145" s="114"/>
      <c r="D145" s="115"/>
    </row>
    <row r="146" spans="1:4" ht="15">
      <c r="A146" s="452" t="s">
        <v>399</v>
      </c>
      <c r="B146" s="453" t="s">
        <v>1984</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1990</v>
      </c>
      <c r="C150" s="114"/>
      <c r="D150" s="115"/>
    </row>
    <row r="151" spans="1:4" ht="15">
      <c r="A151" s="452" t="s">
        <v>2606</v>
      </c>
      <c r="B151" s="453" t="s">
        <v>1986</v>
      </c>
      <c r="C151" s="114"/>
      <c r="D151" s="115"/>
    </row>
    <row r="152" spans="1:4" ht="15">
      <c r="A152" s="452" t="s">
        <v>2607</v>
      </c>
      <c r="B152" s="453" t="s">
        <v>1987</v>
      </c>
      <c r="C152" s="114"/>
      <c r="D152" s="115"/>
    </row>
    <row r="153" spans="1:4" ht="15">
      <c r="A153" s="454" t="s">
        <v>542</v>
      </c>
      <c r="B153" s="453" t="s">
        <v>1985</v>
      </c>
      <c r="C153" s="114"/>
      <c r="D153" s="115"/>
    </row>
    <row r="154" spans="1:4" ht="15">
      <c r="A154" s="452" t="s">
        <v>543</v>
      </c>
      <c r="B154" s="453" t="s">
        <v>1988</v>
      </c>
      <c r="C154" s="114"/>
      <c r="D154" s="115"/>
    </row>
    <row r="155" spans="1:4" ht="15">
      <c r="A155" s="452" t="s">
        <v>544</v>
      </c>
      <c r="B155" s="453" t="s">
        <v>1989</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1993</v>
      </c>
      <c r="C162" s="114"/>
      <c r="D162" s="115"/>
    </row>
    <row r="163" spans="1:4" ht="15">
      <c r="A163" s="454" t="s">
        <v>899</v>
      </c>
      <c r="B163" s="453" t="s">
        <v>1994</v>
      </c>
      <c r="C163" s="114"/>
      <c r="D163" s="115"/>
    </row>
    <row r="164" spans="1:4" ht="15">
      <c r="A164" s="452" t="s">
        <v>904</v>
      </c>
      <c r="B164" s="453" t="s">
        <v>2682</v>
      </c>
      <c r="C164" s="114"/>
      <c r="D164" s="115"/>
    </row>
    <row r="165" spans="1:4" ht="15">
      <c r="A165" s="454" t="s">
        <v>900</v>
      </c>
      <c r="B165" s="453" t="s">
        <v>1996</v>
      </c>
      <c r="C165" s="114"/>
      <c r="D165" s="115"/>
    </row>
    <row r="166" spans="1:4" ht="15">
      <c r="A166" s="452" t="s">
        <v>901</v>
      </c>
      <c r="B166" s="453" t="s">
        <v>1861</v>
      </c>
      <c r="C166" s="114"/>
      <c r="D166" s="115"/>
    </row>
    <row r="167" spans="1:4" ht="15">
      <c r="A167" s="452" t="s">
        <v>902</v>
      </c>
      <c r="B167" s="453" t="s">
        <v>1997</v>
      </c>
      <c r="C167" s="114"/>
      <c r="D167" s="115"/>
    </row>
    <row r="168" spans="1:4" ht="15">
      <c r="A168" s="454" t="s">
        <v>903</v>
      </c>
      <c r="B168" s="453" t="s">
        <v>1998</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2007</v>
      </c>
      <c r="C174" s="114"/>
      <c r="D174" s="115"/>
    </row>
    <row r="175" spans="1:4" ht="15">
      <c r="A175" s="452" t="s">
        <v>906</v>
      </c>
      <c r="B175" s="453" t="s">
        <v>2683</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2011</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2013</v>
      </c>
      <c r="C188" s="114"/>
      <c r="D188" s="115"/>
    </row>
    <row r="189" spans="1:4" ht="15">
      <c r="A189" s="452" t="s">
        <v>402</v>
      </c>
      <c r="B189" s="453" t="s">
        <v>2012</v>
      </c>
      <c r="C189" s="114"/>
      <c r="D189" s="115"/>
    </row>
    <row r="190" spans="1:4" ht="15">
      <c r="A190" s="452" t="s">
        <v>740</v>
      </c>
      <c r="B190" s="453" t="s">
        <v>2014</v>
      </c>
      <c r="C190" s="114"/>
      <c r="D190" s="115"/>
    </row>
    <row r="191" spans="1:4" ht="15">
      <c r="A191" s="452" t="s">
        <v>1663</v>
      </c>
      <c r="B191" s="453" t="s">
        <v>2016</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2023</v>
      </c>
      <c r="C196" s="114"/>
      <c r="D196" s="115"/>
    </row>
    <row r="197" spans="1:4" ht="15">
      <c r="A197" s="452" t="s">
        <v>403</v>
      </c>
      <c r="B197" s="453" t="s">
        <v>2024</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2029</v>
      </c>
      <c r="C200" s="114"/>
      <c r="D200" s="115"/>
    </row>
    <row r="201" spans="1:4" ht="15">
      <c r="A201" s="452" t="s">
        <v>404</v>
      </c>
      <c r="B201" s="453" t="s">
        <v>2025</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2031</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2032</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2037</v>
      </c>
      <c r="C222" s="114"/>
      <c r="D222" s="115"/>
    </row>
    <row r="223" spans="1:4" ht="15">
      <c r="A223" s="454" t="s">
        <v>911</v>
      </c>
      <c r="B223" s="453" t="s">
        <v>2039</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2049</v>
      </c>
      <c r="C227" s="114"/>
      <c r="D227" s="115"/>
    </row>
    <row r="228" spans="1:4" ht="15">
      <c r="A228" s="452" t="s">
        <v>408</v>
      </c>
      <c r="B228" s="453" t="s">
        <v>2050</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2055</v>
      </c>
      <c r="C231" s="114"/>
      <c r="D231" s="115"/>
    </row>
    <row r="232" spans="1:4" ht="15">
      <c r="A232" s="452" t="s">
        <v>1666</v>
      </c>
      <c r="B232" s="453" t="s">
        <v>2056</v>
      </c>
      <c r="C232" s="114"/>
      <c r="D232" s="115"/>
    </row>
    <row r="233" spans="1:4" ht="15">
      <c r="A233" s="452" t="s">
        <v>547</v>
      </c>
      <c r="B233" s="453" t="s">
        <v>2057</v>
      </c>
      <c r="C233" s="114"/>
      <c r="D233" s="115"/>
    </row>
    <row r="234" spans="1:4" ht="15">
      <c r="A234" s="452" t="s">
        <v>548</v>
      </c>
      <c r="B234" s="453" t="s">
        <v>2058</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2059</v>
      </c>
      <c r="C237" s="114"/>
      <c r="D237" s="115"/>
    </row>
    <row r="238" spans="1:4" ht="15">
      <c r="A238" s="452" t="s">
        <v>258</v>
      </c>
      <c r="B238" s="453" t="s">
        <v>2060</v>
      </c>
      <c r="C238" s="114"/>
      <c r="D238" s="115"/>
    </row>
    <row r="239" spans="1:4" ht="15">
      <c r="A239" s="452" t="s">
        <v>259</v>
      </c>
      <c r="B239" s="453" t="s">
        <v>1498</v>
      </c>
      <c r="C239" s="114"/>
      <c r="D239" s="115"/>
    </row>
    <row r="240" spans="1:4" ht="15">
      <c r="A240" s="452" t="s">
        <v>260</v>
      </c>
      <c r="B240" s="453" t="s">
        <v>2061</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2062</v>
      </c>
      <c r="C243" s="114"/>
      <c r="D243" s="115"/>
    </row>
    <row r="244" spans="1:4" ht="15">
      <c r="A244" s="452" t="s">
        <v>264</v>
      </c>
      <c r="B244" s="453" t="s">
        <v>1528</v>
      </c>
      <c r="C244" s="114"/>
      <c r="D244" s="115"/>
    </row>
    <row r="245" spans="1:4" ht="15">
      <c r="A245" s="452" t="s">
        <v>265</v>
      </c>
      <c r="B245" s="453" t="s">
        <v>1501</v>
      </c>
      <c r="C245" s="114"/>
      <c r="D245" s="115"/>
    </row>
    <row r="246" spans="1:4" ht="15">
      <c r="A246" s="454" t="s">
        <v>2069</v>
      </c>
      <c r="B246" s="453" t="s">
        <v>2070</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2063</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2064</v>
      </c>
      <c r="C252" s="114"/>
      <c r="D252" s="115"/>
    </row>
    <row r="253" spans="1:4" ht="15">
      <c r="A253" s="452" t="s">
        <v>267</v>
      </c>
      <c r="B253" s="453" t="s">
        <v>2066</v>
      </c>
      <c r="C253" s="114"/>
      <c r="D253" s="115"/>
    </row>
    <row r="254" spans="1:4" ht="15">
      <c r="A254" s="452" t="s">
        <v>2608</v>
      </c>
      <c r="B254" s="453" t="s">
        <v>2065</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2067</v>
      </c>
      <c r="C258" s="114"/>
      <c r="D258" s="115"/>
    </row>
    <row r="259" spans="1:4" ht="15">
      <c r="A259" s="454" t="s">
        <v>551</v>
      </c>
      <c r="B259" s="453" t="s">
        <v>139</v>
      </c>
      <c r="C259" s="114"/>
      <c r="D259" s="115"/>
    </row>
    <row r="260" spans="1:4" ht="15">
      <c r="A260" s="452" t="s">
        <v>552</v>
      </c>
      <c r="B260" s="453" t="s">
        <v>2068</v>
      </c>
      <c r="C260" s="114"/>
      <c r="D260" s="115"/>
    </row>
    <row r="261" spans="1:4" ht="15">
      <c r="A261" s="454" t="s">
        <v>553</v>
      </c>
      <c r="B261" s="453" t="s">
        <v>2684</v>
      </c>
      <c r="C261" s="114"/>
      <c r="D261" s="115"/>
    </row>
    <row r="262" spans="1:4" ht="15">
      <c r="A262" s="452" t="s">
        <v>554</v>
      </c>
      <c r="B262" s="453" t="s">
        <v>1530</v>
      </c>
      <c r="C262" s="114"/>
      <c r="D262" s="115"/>
    </row>
    <row r="263" spans="1:4" ht="15">
      <c r="A263" s="454" t="s">
        <v>912</v>
      </c>
      <c r="B263" s="453" t="s">
        <v>2685</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2074</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2075</v>
      </c>
      <c r="C275" s="114"/>
      <c r="D275" s="115"/>
    </row>
    <row r="276" spans="1:4" ht="15">
      <c r="A276" s="452" t="s">
        <v>696</v>
      </c>
      <c r="B276" s="453" t="s">
        <v>191</v>
      </c>
      <c r="C276" s="114"/>
      <c r="D276" s="115"/>
    </row>
    <row r="277" spans="1:4" ht="15">
      <c r="A277" s="452" t="s">
        <v>2609</v>
      </c>
      <c r="B277" s="453" t="s">
        <v>126</v>
      </c>
      <c r="C277" s="114"/>
      <c r="D277" s="115"/>
    </row>
    <row r="278" spans="1:4" ht="15">
      <c r="A278" s="452" t="s">
        <v>1669</v>
      </c>
      <c r="B278" s="453" t="s">
        <v>2076</v>
      </c>
      <c r="C278" s="114"/>
      <c r="D278" s="115"/>
    </row>
    <row r="279" spans="1:4" ht="15">
      <c r="A279" s="452" t="s">
        <v>1670</v>
      </c>
      <c r="B279" s="453" t="s">
        <v>2077</v>
      </c>
      <c r="C279" s="114"/>
      <c r="D279" s="115"/>
    </row>
    <row r="280" spans="1:4" ht="15">
      <c r="A280" s="452" t="s">
        <v>2078</v>
      </c>
      <c r="B280" s="453" t="s">
        <v>2079</v>
      </c>
      <c r="C280" s="114"/>
      <c r="D280" s="115"/>
    </row>
    <row r="281" spans="1:4" ht="15">
      <c r="A281" s="452" t="s">
        <v>414</v>
      </c>
      <c r="B281" s="453" t="s">
        <v>2080</v>
      </c>
      <c r="C281" s="114"/>
      <c r="D281" s="115"/>
    </row>
    <row r="282" spans="1:4" ht="15">
      <c r="A282" s="452" t="s">
        <v>415</v>
      </c>
      <c r="B282" s="453" t="s">
        <v>2081</v>
      </c>
      <c r="C282" s="114"/>
      <c r="D282" s="115"/>
    </row>
    <row r="283" spans="1:4" ht="15">
      <c r="A283" s="452" t="s">
        <v>416</v>
      </c>
      <c r="B283" s="453" t="s">
        <v>2082</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2709</v>
      </c>
      <c r="C287" s="114"/>
      <c r="D287" s="115"/>
    </row>
    <row r="288" spans="1:4" ht="15">
      <c r="A288" s="452" t="s">
        <v>759</v>
      </c>
      <c r="B288" s="453" t="s">
        <v>183</v>
      </c>
      <c r="C288" s="114"/>
      <c r="D288" s="115"/>
    </row>
    <row r="289" spans="1:4" ht="15">
      <c r="A289" s="452" t="s">
        <v>758</v>
      </c>
      <c r="B289" s="453" t="s">
        <v>2086</v>
      </c>
      <c r="C289" s="114"/>
      <c r="D289" s="115"/>
    </row>
    <row r="290" spans="1:4" ht="15">
      <c r="A290" s="452" t="s">
        <v>276</v>
      </c>
      <c r="B290" s="453" t="s">
        <v>2087</v>
      </c>
      <c r="C290" s="114"/>
      <c r="D290" s="115"/>
    </row>
    <row r="291" spans="1:4" ht="15">
      <c r="A291" s="452" t="s">
        <v>277</v>
      </c>
      <c r="B291" s="453" t="s">
        <v>1510</v>
      </c>
      <c r="C291" s="114"/>
      <c r="D291" s="115"/>
    </row>
    <row r="292" spans="1:4" ht="15">
      <c r="A292" s="452" t="s">
        <v>418</v>
      </c>
      <c r="B292" s="453" t="s">
        <v>2088</v>
      </c>
      <c r="C292" s="114"/>
      <c r="D292" s="115"/>
    </row>
    <row r="293" spans="1:4" ht="15">
      <c r="A293" s="452" t="s">
        <v>419</v>
      </c>
      <c r="B293" s="453" t="s">
        <v>2089</v>
      </c>
      <c r="C293" s="114"/>
      <c r="D293" s="115"/>
    </row>
    <row r="294" spans="1:4" ht="15">
      <c r="A294" s="452" t="s">
        <v>420</v>
      </c>
      <c r="B294" s="453" t="s">
        <v>2090</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2096</v>
      </c>
      <c r="C297" s="114"/>
      <c r="D297" s="115"/>
    </row>
    <row r="298" spans="1:4" ht="15">
      <c r="A298" s="452" t="s">
        <v>763</v>
      </c>
      <c r="B298" s="453" t="s">
        <v>2097</v>
      </c>
      <c r="C298" s="114"/>
      <c r="D298" s="115"/>
    </row>
    <row r="299" spans="1:4" ht="15">
      <c r="A299" s="452" t="s">
        <v>2687</v>
      </c>
      <c r="B299" s="453" t="s">
        <v>2674</v>
      </c>
      <c r="C299" s="114"/>
      <c r="D299" s="115"/>
    </row>
    <row r="300" spans="1:4" ht="15">
      <c r="A300" s="452" t="s">
        <v>764</v>
      </c>
      <c r="B300" s="453" t="s">
        <v>68</v>
      </c>
      <c r="C300" s="114"/>
      <c r="D300" s="115"/>
    </row>
    <row r="301" spans="1:4" ht="15">
      <c r="A301" s="452" t="s">
        <v>765</v>
      </c>
      <c r="B301" s="453" t="s">
        <v>2099</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2100</v>
      </c>
      <c r="C308" s="114"/>
      <c r="D308" s="115"/>
    </row>
    <row r="309" spans="1:4" ht="15">
      <c r="A309" s="452" t="s">
        <v>773</v>
      </c>
      <c r="B309" s="453" t="s">
        <v>74</v>
      </c>
      <c r="C309" s="114"/>
      <c r="D309" s="115"/>
    </row>
    <row r="310" spans="1:4" ht="15">
      <c r="A310" s="452" t="s">
        <v>2610</v>
      </c>
      <c r="B310" s="453" t="s">
        <v>2113</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2116</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2117</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2118</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2119</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2611</v>
      </c>
      <c r="B328" s="453" t="s">
        <v>2121</v>
      </c>
      <c r="C328" s="114"/>
      <c r="D328" s="115"/>
    </row>
    <row r="329" spans="1:4" ht="15">
      <c r="A329" s="452" t="s">
        <v>284</v>
      </c>
      <c r="B329" s="453" t="s">
        <v>1778</v>
      </c>
      <c r="C329" s="114"/>
      <c r="D329" s="115"/>
    </row>
    <row r="330" spans="1:4" ht="15">
      <c r="A330" s="452" t="s">
        <v>427</v>
      </c>
      <c r="B330" s="453" t="s">
        <v>2122</v>
      </c>
      <c r="C330" s="114"/>
      <c r="D330" s="115"/>
    </row>
    <row r="331" spans="1:4" ht="15">
      <c r="A331" s="452" t="s">
        <v>428</v>
      </c>
      <c r="B331" s="453" t="s">
        <v>2123</v>
      </c>
      <c r="C331" s="114"/>
      <c r="D331" s="115"/>
    </row>
    <row r="332" spans="1:4" ht="15">
      <c r="A332" s="452" t="s">
        <v>285</v>
      </c>
      <c r="B332" s="453" t="s">
        <v>2124</v>
      </c>
      <c r="C332" s="114"/>
      <c r="D332" s="115"/>
    </row>
    <row r="333" spans="1:4" ht="15">
      <c r="A333" s="454" t="s">
        <v>555</v>
      </c>
      <c r="B333" s="453" t="s">
        <v>2125</v>
      </c>
      <c r="C333" s="114"/>
      <c r="D333" s="115"/>
    </row>
    <row r="334" spans="1:4" ht="15">
      <c r="A334" s="452" t="s">
        <v>556</v>
      </c>
      <c r="B334" s="453" t="s">
        <v>2127</v>
      </c>
      <c r="C334" s="114"/>
      <c r="D334" s="115"/>
    </row>
    <row r="335" spans="1:4" ht="15">
      <c r="A335" s="452" t="s">
        <v>1673</v>
      </c>
      <c r="B335" s="453" t="s">
        <v>2126</v>
      </c>
      <c r="C335" s="114"/>
      <c r="D335" s="115"/>
    </row>
    <row r="336" spans="1:4" ht="15">
      <c r="A336" s="452" t="s">
        <v>913</v>
      </c>
      <c r="B336" s="453" t="s">
        <v>0</v>
      </c>
      <c r="C336" s="114"/>
      <c r="D336" s="115"/>
    </row>
    <row r="337" spans="1:4" ht="15">
      <c r="A337" s="452" t="s">
        <v>777</v>
      </c>
      <c r="B337" s="453" t="s">
        <v>2128</v>
      </c>
      <c r="C337" s="114"/>
      <c r="D337" s="115"/>
    </row>
    <row r="338" spans="1:4" ht="15">
      <c r="A338" s="454" t="s">
        <v>914</v>
      </c>
      <c r="B338" s="453" t="s">
        <v>2130</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2688</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2133</v>
      </c>
      <c r="C348" s="114"/>
      <c r="D348" s="115"/>
    </row>
    <row r="349" spans="1:4" ht="15">
      <c r="A349" s="452" t="s">
        <v>780</v>
      </c>
      <c r="B349" s="453" t="s">
        <v>2137</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2135</v>
      </c>
      <c r="C356" s="114"/>
      <c r="D356" s="115"/>
    </row>
    <row r="357" spans="1:4" ht="15">
      <c r="A357" s="452" t="s">
        <v>560</v>
      </c>
      <c r="B357" s="453" t="s">
        <v>2132</v>
      </c>
      <c r="C357" s="114"/>
      <c r="D357" s="115"/>
    </row>
    <row r="358" spans="1:4" ht="15">
      <c r="A358" s="452" t="s">
        <v>787</v>
      </c>
      <c r="B358" s="453" t="s">
        <v>2140</v>
      </c>
      <c r="C358" s="114"/>
      <c r="D358" s="115"/>
    </row>
    <row r="359" spans="1:4" ht="15">
      <c r="A359" s="452" t="s">
        <v>288</v>
      </c>
      <c r="B359" s="453" t="s">
        <v>1781</v>
      </c>
      <c r="C359" s="114"/>
      <c r="D359" s="115"/>
    </row>
    <row r="360" spans="1:4" ht="15">
      <c r="A360" s="452" t="s">
        <v>562</v>
      </c>
      <c r="B360" s="453" t="s">
        <v>2134</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2136</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2142</v>
      </c>
      <c r="C367" s="114"/>
      <c r="D367" s="115"/>
    </row>
    <row r="368" spans="1:4" ht="15">
      <c r="A368" s="452" t="s">
        <v>432</v>
      </c>
      <c r="B368" s="453" t="s">
        <v>1536</v>
      </c>
      <c r="C368" s="114"/>
      <c r="D368" s="115"/>
    </row>
    <row r="369" spans="1:4" ht="15">
      <c r="A369" s="452" t="s">
        <v>1676</v>
      </c>
      <c r="B369" s="453" t="s">
        <v>2143</v>
      </c>
      <c r="C369" s="114"/>
      <c r="D369" s="115"/>
    </row>
    <row r="370" spans="1:4" ht="15">
      <c r="A370" s="452" t="s">
        <v>1677</v>
      </c>
      <c r="B370" s="453" t="s">
        <v>2158</v>
      </c>
      <c r="C370" s="114"/>
      <c r="D370" s="115"/>
    </row>
    <row r="371" spans="1:4" ht="15">
      <c r="A371" s="452" t="s">
        <v>1678</v>
      </c>
      <c r="B371" s="453" t="s">
        <v>76</v>
      </c>
      <c r="C371" s="114"/>
      <c r="D371" s="115"/>
    </row>
    <row r="372" spans="1:4" ht="15">
      <c r="A372" s="452" t="s">
        <v>433</v>
      </c>
      <c r="B372" s="453" t="s">
        <v>2144</v>
      </c>
      <c r="C372" s="114"/>
      <c r="D372" s="115"/>
    </row>
    <row r="373" spans="1:4" ht="15">
      <c r="A373" s="452" t="s">
        <v>697</v>
      </c>
      <c r="B373" s="453" t="s">
        <v>2146</v>
      </c>
      <c r="C373" s="114"/>
      <c r="D373" s="115"/>
    </row>
    <row r="374" spans="1:4" ht="15">
      <c r="A374" s="452" t="s">
        <v>698</v>
      </c>
      <c r="B374" s="453" t="s">
        <v>2147</v>
      </c>
      <c r="C374" s="114"/>
      <c r="D374" s="115"/>
    </row>
    <row r="375" spans="1:4" ht="15">
      <c r="A375" s="452" t="s">
        <v>699</v>
      </c>
      <c r="B375" s="453" t="s">
        <v>2148</v>
      </c>
      <c r="C375" s="114"/>
      <c r="D375" s="115"/>
    </row>
    <row r="376" spans="1:4" ht="15">
      <c r="A376" s="452" t="s">
        <v>700</v>
      </c>
      <c r="B376" s="453" t="s">
        <v>2149</v>
      </c>
      <c r="C376" s="114"/>
      <c r="D376" s="115"/>
    </row>
    <row r="377" spans="1:4" ht="15">
      <c r="A377" s="452" t="s">
        <v>701</v>
      </c>
      <c r="B377" s="453" t="s">
        <v>2150</v>
      </c>
      <c r="C377" s="114"/>
      <c r="D377" s="115"/>
    </row>
    <row r="378" spans="1:4" ht="15">
      <c r="A378" s="452" t="s">
        <v>702</v>
      </c>
      <c r="B378" s="453" t="s">
        <v>2151</v>
      </c>
      <c r="C378" s="114"/>
      <c r="D378" s="115"/>
    </row>
    <row r="379" spans="1:4" ht="15">
      <c r="A379" s="452" t="s">
        <v>703</v>
      </c>
      <c r="B379" s="453" t="s">
        <v>2152</v>
      </c>
      <c r="C379" s="114"/>
      <c r="D379" s="115"/>
    </row>
    <row r="380" spans="1:4" ht="15">
      <c r="A380" s="452" t="s">
        <v>704</v>
      </c>
      <c r="B380" s="453" t="s">
        <v>192</v>
      </c>
      <c r="C380" s="114"/>
      <c r="D380" s="115"/>
    </row>
    <row r="381" spans="1:4" ht="15">
      <c r="A381" s="452" t="s">
        <v>2612</v>
      </c>
      <c r="B381" s="453" t="s">
        <v>2154</v>
      </c>
      <c r="C381" s="114"/>
      <c r="D381" s="115"/>
    </row>
    <row r="382" spans="1:4" ht="15">
      <c r="A382" s="452" t="s">
        <v>2614</v>
      </c>
      <c r="B382" s="453" t="s">
        <v>2156</v>
      </c>
      <c r="C382" s="114"/>
      <c r="D382" s="115"/>
    </row>
    <row r="383" spans="1:4" ht="15">
      <c r="A383" s="452" t="s">
        <v>705</v>
      </c>
      <c r="B383" s="453" t="s">
        <v>2153</v>
      </c>
      <c r="C383" s="114"/>
      <c r="D383" s="115"/>
    </row>
    <row r="384" spans="1:4" ht="15">
      <c r="A384" s="452" t="s">
        <v>2613</v>
      </c>
      <c r="B384" s="453" t="s">
        <v>2155</v>
      </c>
      <c r="C384" s="114"/>
      <c r="D384" s="115"/>
    </row>
    <row r="385" spans="1:4" ht="15">
      <c r="A385" s="452" t="s">
        <v>706</v>
      </c>
      <c r="B385" s="453" t="s">
        <v>2157</v>
      </c>
      <c r="C385" s="114"/>
      <c r="D385" s="115"/>
    </row>
    <row r="386" spans="1:4" ht="15">
      <c r="A386" s="452" t="s">
        <v>839</v>
      </c>
      <c r="B386" s="453" t="s">
        <v>2161</v>
      </c>
      <c r="C386" s="114"/>
      <c r="D386" s="115"/>
    </row>
    <row r="387" spans="1:4" ht="15">
      <c r="A387" s="452" t="s">
        <v>2615</v>
      </c>
      <c r="B387" s="457" t="s">
        <v>1600</v>
      </c>
      <c r="C387" s="114"/>
      <c r="D387" s="115"/>
    </row>
    <row r="388" spans="1:4" ht="15">
      <c r="A388" s="454" t="s">
        <v>840</v>
      </c>
      <c r="B388" s="453" t="s">
        <v>2174</v>
      </c>
      <c r="C388" s="114"/>
      <c r="D388" s="115"/>
    </row>
    <row r="389" spans="1:4" ht="15">
      <c r="A389" s="452" t="s">
        <v>841</v>
      </c>
      <c r="B389" s="453" t="s">
        <v>1187</v>
      </c>
      <c r="C389" s="114"/>
      <c r="D389" s="115"/>
    </row>
    <row r="390" spans="1:4" ht="15">
      <c r="A390" s="452" t="s">
        <v>842</v>
      </c>
      <c r="B390" s="453" t="s">
        <v>2188</v>
      </c>
      <c r="C390" s="114"/>
      <c r="D390" s="115"/>
    </row>
    <row r="391" spans="1:4" ht="15">
      <c r="A391" s="452" t="s">
        <v>844</v>
      </c>
      <c r="B391" s="453" t="s">
        <v>1188</v>
      </c>
      <c r="C391" s="114"/>
      <c r="D391" s="115"/>
    </row>
    <row r="392" spans="1:4" ht="15">
      <c r="A392" s="452" t="s">
        <v>843</v>
      </c>
      <c r="B392" s="453" t="s">
        <v>2195</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2159</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2160</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2205</v>
      </c>
      <c r="C411" s="114"/>
      <c r="D411" s="115"/>
    </row>
    <row r="412" spans="1:4" ht="15">
      <c r="A412" s="452" t="s">
        <v>299</v>
      </c>
      <c r="B412" s="453" t="s">
        <v>2689</v>
      </c>
      <c r="C412" s="114"/>
      <c r="D412" s="115"/>
    </row>
    <row r="413" spans="1:4" ht="15">
      <c r="A413" s="452" t="s">
        <v>845</v>
      </c>
      <c r="B413" s="453" t="s">
        <v>2203</v>
      </c>
      <c r="C413" s="114"/>
      <c r="D413" s="115"/>
    </row>
    <row r="414" spans="1:4" ht="15">
      <c r="A414" s="452" t="s">
        <v>565</v>
      </c>
      <c r="B414" s="453" t="s">
        <v>2207</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2208</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2210</v>
      </c>
      <c r="C420" s="114"/>
      <c r="D420" s="115"/>
    </row>
    <row r="421" spans="1:4" ht="15">
      <c r="A421" s="452" t="s">
        <v>968</v>
      </c>
      <c r="B421" s="453" t="s">
        <v>2211</v>
      </c>
      <c r="C421" s="114"/>
      <c r="D421" s="115"/>
    </row>
    <row r="422" spans="1:4" ht="15">
      <c r="A422" s="452" t="s">
        <v>1680</v>
      </c>
      <c r="B422" s="453" t="s">
        <v>2213</v>
      </c>
      <c r="C422" s="114"/>
      <c r="D422" s="115"/>
    </row>
    <row r="423" spans="1:4" ht="15">
      <c r="A423" s="452" t="s">
        <v>441</v>
      </c>
      <c r="B423" s="453" t="s">
        <v>2212</v>
      </c>
      <c r="C423" s="114"/>
      <c r="D423" s="115"/>
    </row>
    <row r="424" spans="1:4" ht="15">
      <c r="A424" s="452" t="s">
        <v>300</v>
      </c>
      <c r="B424" s="453" t="s">
        <v>2214</v>
      </c>
      <c r="C424" s="114"/>
      <c r="D424" s="115"/>
    </row>
    <row r="425" spans="1:4" ht="15">
      <c r="A425" s="452" t="s">
        <v>301</v>
      </c>
      <c r="B425" s="453" t="s">
        <v>2215</v>
      </c>
      <c r="C425" s="114"/>
      <c r="D425" s="115"/>
    </row>
    <row r="426" spans="1:4" ht="15">
      <c r="A426" s="452" t="s">
        <v>302</v>
      </c>
      <c r="B426" s="453" t="s">
        <v>2216</v>
      </c>
      <c r="C426" s="114"/>
      <c r="D426" s="115"/>
    </row>
    <row r="427" spans="1:4" ht="15">
      <c r="A427" s="452" t="s">
        <v>303</v>
      </c>
      <c r="B427" s="453" t="s">
        <v>2217</v>
      </c>
      <c r="C427" s="114"/>
      <c r="D427" s="115"/>
    </row>
    <row r="428" spans="1:4" ht="15">
      <c r="A428" s="454" t="s">
        <v>572</v>
      </c>
      <c r="B428" s="453" t="s">
        <v>1440</v>
      </c>
      <c r="C428" s="114"/>
      <c r="D428" s="115"/>
    </row>
    <row r="429" spans="1:4" ht="15">
      <c r="A429" s="452" t="s">
        <v>573</v>
      </c>
      <c r="B429" s="453" t="s">
        <v>2218</v>
      </c>
      <c r="C429" s="114"/>
      <c r="D429" s="115"/>
    </row>
    <row r="430" spans="1:4" ht="15">
      <c r="A430" s="452" t="s">
        <v>304</v>
      </c>
      <c r="B430" s="453" t="s">
        <v>2219</v>
      </c>
      <c r="C430" s="114"/>
      <c r="D430" s="115"/>
    </row>
    <row r="431" spans="1:4" ht="15">
      <c r="A431" s="452" t="s">
        <v>442</v>
      </c>
      <c r="B431" s="453" t="s">
        <v>2221</v>
      </c>
      <c r="C431" s="114"/>
      <c r="D431" s="115"/>
    </row>
    <row r="432" spans="1:4" ht="15">
      <c r="A432" s="452" t="s">
        <v>443</v>
      </c>
      <c r="B432" s="453" t="s">
        <v>2222</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2230</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2616</v>
      </c>
      <c r="B444" s="453" t="s">
        <v>2233</v>
      </c>
      <c r="C444" s="114"/>
      <c r="D444" s="115"/>
    </row>
    <row r="445" spans="1:4" ht="15">
      <c r="A445" s="452" t="s">
        <v>452</v>
      </c>
      <c r="B445" s="453" t="s">
        <v>2234</v>
      </c>
      <c r="C445" s="114"/>
      <c r="D445" s="115"/>
    </row>
    <row r="446" spans="1:4" ht="15">
      <c r="A446" s="452" t="s">
        <v>451</v>
      </c>
      <c r="B446" s="453" t="s">
        <v>2231</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2235</v>
      </c>
      <c r="C449" s="114"/>
      <c r="D449" s="115"/>
    </row>
    <row r="450" spans="1:4" ht="15">
      <c r="A450" s="452" t="s">
        <v>848</v>
      </c>
      <c r="B450" s="453" t="s">
        <v>2236</v>
      </c>
      <c r="C450" s="114"/>
      <c r="D450" s="115"/>
    </row>
    <row r="451" spans="1:4" ht="15">
      <c r="A451" s="452" t="s">
        <v>849</v>
      </c>
      <c r="B451" s="453" t="s">
        <v>181</v>
      </c>
      <c r="C451" s="114"/>
      <c r="D451" s="115"/>
    </row>
    <row r="452" spans="1:4" ht="15">
      <c r="A452" s="454" t="s">
        <v>850</v>
      </c>
      <c r="B452" s="453" t="s">
        <v>2244</v>
      </c>
      <c r="C452" s="114"/>
      <c r="D452" s="115"/>
    </row>
    <row r="453" spans="1:4" ht="15">
      <c r="A453" s="454" t="s">
        <v>851</v>
      </c>
      <c r="B453" s="453" t="s">
        <v>2710</v>
      </c>
      <c r="C453" s="114"/>
      <c r="D453" s="115"/>
    </row>
    <row r="454" spans="1:4" ht="15">
      <c r="A454" s="452" t="s">
        <v>853</v>
      </c>
      <c r="B454" s="453" t="s">
        <v>1014</v>
      </c>
      <c r="C454" s="114"/>
      <c r="D454" s="115"/>
    </row>
    <row r="455" spans="1:4" ht="15">
      <c r="A455" s="452" t="s">
        <v>852</v>
      </c>
      <c r="B455" s="453" t="s">
        <v>2252</v>
      </c>
      <c r="C455" s="114"/>
      <c r="D455" s="115"/>
    </row>
    <row r="456" spans="1:4" ht="15">
      <c r="A456" s="452" t="s">
        <v>575</v>
      </c>
      <c r="B456" s="453" t="s">
        <v>2240</v>
      </c>
      <c r="C456" s="114"/>
      <c r="D456" s="115"/>
    </row>
    <row r="457" spans="1:4" ht="15">
      <c r="A457" s="452" t="s">
        <v>576</v>
      </c>
      <c r="B457" s="453" t="s">
        <v>2241</v>
      </c>
      <c r="C457" s="114"/>
      <c r="D457" s="115"/>
    </row>
    <row r="458" spans="1:4" ht="15">
      <c r="A458" s="452" t="s">
        <v>577</v>
      </c>
      <c r="B458" s="453" t="s">
        <v>2242</v>
      </c>
      <c r="C458" s="114"/>
      <c r="D458" s="115"/>
    </row>
    <row r="459" spans="1:4" ht="15">
      <c r="A459" s="452" t="s">
        <v>578</v>
      </c>
      <c r="B459" s="453" t="s">
        <v>2243</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2259</v>
      </c>
      <c r="C462" s="114"/>
      <c r="D462" s="115"/>
    </row>
    <row r="463" spans="1:4" ht="15">
      <c r="A463" s="452" t="s">
        <v>457</v>
      </c>
      <c r="B463" s="453" t="s">
        <v>1449</v>
      </c>
      <c r="C463" s="114"/>
      <c r="D463" s="115"/>
    </row>
    <row r="464" spans="1:4" ht="15">
      <c r="A464" s="452" t="s">
        <v>458</v>
      </c>
      <c r="B464" s="453" t="s">
        <v>1545</v>
      </c>
      <c r="C464" s="114"/>
      <c r="D464" s="115"/>
    </row>
    <row r="465" spans="1:4" ht="15">
      <c r="A465" s="452" t="s">
        <v>2617</v>
      </c>
      <c r="B465" s="453" t="s">
        <v>1450</v>
      </c>
      <c r="C465" s="114"/>
      <c r="D465" s="115"/>
    </row>
    <row r="466" spans="1:4" ht="15">
      <c r="A466" s="452" t="s">
        <v>2618</v>
      </c>
      <c r="B466" s="453" t="s">
        <v>2260</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2691</v>
      </c>
      <c r="C471" s="114"/>
      <c r="D471" s="115"/>
    </row>
    <row r="472" spans="1:4" ht="15">
      <c r="A472" s="452" t="s">
        <v>924</v>
      </c>
      <c r="B472" s="453" t="s">
        <v>2692</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2619</v>
      </c>
      <c r="B476" s="453" t="s">
        <v>2264</v>
      </c>
      <c r="C476" s="114"/>
      <c r="D476" s="115"/>
    </row>
    <row r="477" spans="1:4" ht="15">
      <c r="A477" s="452" t="s">
        <v>1681</v>
      </c>
      <c r="B477" s="453" t="s">
        <v>1121</v>
      </c>
      <c r="C477" s="114"/>
      <c r="D477" s="115"/>
    </row>
    <row r="478" spans="1:4" ht="15">
      <c r="A478" s="452" t="s">
        <v>307</v>
      </c>
      <c r="B478" s="453" t="s">
        <v>1793</v>
      </c>
      <c r="C478" s="114"/>
      <c r="D478" s="115"/>
    </row>
    <row r="479" spans="1:4" ht="15">
      <c r="A479" s="452" t="s">
        <v>2620</v>
      </c>
      <c r="B479" s="453" t="s">
        <v>2265</v>
      </c>
      <c r="C479" s="114"/>
      <c r="D479" s="115"/>
    </row>
    <row r="480" spans="1:4" ht="15">
      <c r="A480" s="452" t="s">
        <v>461</v>
      </c>
      <c r="B480" s="453" t="s">
        <v>2266</v>
      </c>
      <c r="C480" s="114"/>
      <c r="D480" s="115"/>
    </row>
    <row r="481" spans="1:4" ht="15">
      <c r="A481" s="452" t="s">
        <v>2621</v>
      </c>
      <c r="B481" s="453" t="s">
        <v>2267</v>
      </c>
      <c r="C481" s="114"/>
      <c r="D481" s="115"/>
    </row>
    <row r="482" spans="1:4" ht="15">
      <c r="A482" s="454" t="s">
        <v>460</v>
      </c>
      <c r="B482" s="453" t="s">
        <v>1452</v>
      </c>
      <c r="C482" s="114"/>
      <c r="D482" s="115"/>
    </row>
    <row r="483" spans="1:4" ht="15">
      <c r="A483" s="452" t="s">
        <v>2622</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2268</v>
      </c>
      <c r="C487" s="114"/>
      <c r="D487" s="115"/>
    </row>
    <row r="488" spans="1:4" ht="15">
      <c r="A488" s="452" t="s">
        <v>1682</v>
      </c>
      <c r="B488" s="453" t="s">
        <v>2273</v>
      </c>
      <c r="C488" s="114"/>
      <c r="D488" s="115"/>
    </row>
    <row r="489" spans="1:4" ht="15">
      <c r="A489" s="452" t="s">
        <v>465</v>
      </c>
      <c r="B489" s="453" t="s">
        <v>2271</v>
      </c>
      <c r="C489" s="114"/>
      <c r="D489" s="115"/>
    </row>
    <row r="490" spans="1:4" ht="15">
      <c r="A490" s="454" t="s">
        <v>464</v>
      </c>
      <c r="B490" s="453" t="s">
        <v>2269</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2272</v>
      </c>
      <c r="C493" s="114"/>
      <c r="D493" s="115"/>
    </row>
    <row r="494" spans="1:4" ht="15">
      <c r="A494" s="454" t="s">
        <v>579</v>
      </c>
      <c r="B494" s="453" t="s">
        <v>1237</v>
      </c>
      <c r="C494" s="114"/>
      <c r="D494" s="115"/>
    </row>
    <row r="495" spans="1:4" ht="15">
      <c r="A495" s="452" t="s">
        <v>469</v>
      </c>
      <c r="B495" s="453" t="s">
        <v>2274</v>
      </c>
      <c r="C495" s="114"/>
      <c r="D495" s="115"/>
    </row>
    <row r="496" spans="1:4" ht="15">
      <c r="A496" s="452" t="s">
        <v>580</v>
      </c>
      <c r="B496" s="453" t="s">
        <v>2275</v>
      </c>
      <c r="C496" s="114"/>
      <c r="D496" s="115"/>
    </row>
    <row r="497" spans="1:4" ht="15">
      <c r="A497" s="452" t="s">
        <v>581</v>
      </c>
      <c r="B497" s="453" t="s">
        <v>2276</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2277</v>
      </c>
      <c r="C501" s="114"/>
      <c r="D501" s="115"/>
    </row>
    <row r="502" spans="1:4" ht="15">
      <c r="A502" s="452" t="s">
        <v>308</v>
      </c>
      <c r="B502" s="453" t="s">
        <v>1794</v>
      </c>
      <c r="C502" s="114"/>
      <c r="D502" s="115"/>
    </row>
    <row r="503" spans="1:4" ht="15">
      <c r="A503" s="452" t="s">
        <v>586</v>
      </c>
      <c r="B503" s="453" t="s">
        <v>2278</v>
      </c>
      <c r="C503" s="114"/>
      <c r="D503" s="115"/>
    </row>
    <row r="504" spans="1:4" ht="15">
      <c r="A504" s="452" t="s">
        <v>587</v>
      </c>
      <c r="B504" s="453" t="s">
        <v>2279</v>
      </c>
      <c r="C504" s="114"/>
      <c r="D504" s="115"/>
    </row>
    <row r="505" spans="1:4" ht="15">
      <c r="A505" s="452" t="s">
        <v>588</v>
      </c>
      <c r="B505" s="453" t="s">
        <v>2280</v>
      </c>
      <c r="C505" s="114"/>
      <c r="D505" s="115"/>
    </row>
    <row r="506" spans="1:4" ht="15">
      <c r="A506" s="452" t="s">
        <v>2623</v>
      </c>
      <c r="B506" s="453" t="s">
        <v>2282</v>
      </c>
      <c r="C506" s="114"/>
      <c r="D506" s="115"/>
    </row>
    <row r="507" spans="1:4" ht="15">
      <c r="A507" s="452" t="s">
        <v>2624</v>
      </c>
      <c r="B507" s="453" t="s">
        <v>2283</v>
      </c>
      <c r="C507" s="114"/>
      <c r="D507" s="115"/>
    </row>
    <row r="508" spans="1:4" ht="15">
      <c r="A508" s="452" t="s">
        <v>590</v>
      </c>
      <c r="B508" s="453" t="s">
        <v>1241</v>
      </c>
      <c r="C508" s="114"/>
      <c r="D508" s="115"/>
    </row>
    <row r="509" spans="1:4" ht="15">
      <c r="A509" s="454" t="s">
        <v>589</v>
      </c>
      <c r="B509" s="453" t="s">
        <v>2281</v>
      </c>
      <c r="C509" s="114"/>
      <c r="D509" s="115"/>
    </row>
    <row r="510" spans="1:4" ht="15">
      <c r="A510" s="454" t="s">
        <v>591</v>
      </c>
      <c r="B510" s="453" t="s">
        <v>1240</v>
      </c>
      <c r="C510" s="114"/>
      <c r="D510" s="115"/>
    </row>
    <row r="511" spans="1:4" ht="15">
      <c r="A511" s="452" t="s">
        <v>592</v>
      </c>
      <c r="B511" s="453" t="s">
        <v>2284</v>
      </c>
      <c r="C511" s="114"/>
      <c r="D511" s="115"/>
    </row>
    <row r="512" spans="1:4" ht="15">
      <c r="A512" s="452" t="s">
        <v>593</v>
      </c>
      <c r="B512" s="453" t="s">
        <v>1550</v>
      </c>
      <c r="C512" s="114"/>
      <c r="D512" s="115"/>
    </row>
    <row r="513" spans="1:4" ht="15">
      <c r="A513" s="452" t="s">
        <v>594</v>
      </c>
      <c r="B513" s="453" t="s">
        <v>2285</v>
      </c>
      <c r="C513" s="114"/>
      <c r="D513" s="115"/>
    </row>
    <row r="514" spans="1:4" ht="15">
      <c r="A514" s="454" t="s">
        <v>854</v>
      </c>
      <c r="B514" s="453" t="s">
        <v>1190</v>
      </c>
      <c r="C514" s="114"/>
      <c r="D514" s="115"/>
    </row>
    <row r="515" spans="1:4" ht="15">
      <c r="A515" s="454" t="s">
        <v>855</v>
      </c>
      <c r="B515" s="453" t="s">
        <v>2289</v>
      </c>
      <c r="C515" s="114"/>
      <c r="D515" s="115"/>
    </row>
    <row r="516" spans="1:4" ht="15">
      <c r="A516" s="452" t="s">
        <v>856</v>
      </c>
      <c r="B516" s="453" t="s">
        <v>2294</v>
      </c>
      <c r="C516" s="114"/>
      <c r="D516" s="115"/>
    </row>
    <row r="517" spans="1:4" ht="15">
      <c r="A517" s="454" t="s">
        <v>470</v>
      </c>
      <c r="B517" s="453" t="s">
        <v>2295</v>
      </c>
      <c r="C517" s="114"/>
      <c r="D517" s="115"/>
    </row>
    <row r="518" spans="1:4" ht="15">
      <c r="A518" s="452" t="s">
        <v>595</v>
      </c>
      <c r="B518" s="453" t="s">
        <v>2297</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2301</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2304</v>
      </c>
      <c r="C529" s="114"/>
      <c r="D529" s="115"/>
    </row>
    <row r="530" spans="1:4" ht="15">
      <c r="A530" s="452" t="s">
        <v>596</v>
      </c>
      <c r="B530" s="453" t="s">
        <v>2305</v>
      </c>
      <c r="C530" s="114"/>
      <c r="D530" s="115"/>
    </row>
    <row r="531" spans="1:4" ht="15">
      <c r="A531" s="454" t="s">
        <v>597</v>
      </c>
      <c r="B531" s="453" t="s">
        <v>1242</v>
      </c>
      <c r="C531" s="114"/>
      <c r="D531" s="115"/>
    </row>
    <row r="532" spans="1:4" ht="15">
      <c r="A532" s="452" t="s">
        <v>2625</v>
      </c>
      <c r="B532" s="453" t="s">
        <v>2306</v>
      </c>
      <c r="C532" s="114"/>
      <c r="D532" s="115"/>
    </row>
    <row r="533" spans="1:4" ht="15">
      <c r="A533" s="452" t="s">
        <v>598</v>
      </c>
      <c r="B533" s="453" t="s">
        <v>1243</v>
      </c>
      <c r="C533" s="114"/>
      <c r="D533" s="115"/>
    </row>
    <row r="534" spans="1:4" ht="15">
      <c r="A534" s="452" t="s">
        <v>599</v>
      </c>
      <c r="B534" s="453" t="s">
        <v>1551</v>
      </c>
      <c r="C534" s="114"/>
      <c r="D534" s="115"/>
    </row>
    <row r="535" spans="1:4" ht="15">
      <c r="A535" s="452" t="s">
        <v>2626</v>
      </c>
      <c r="B535" s="453" t="s">
        <v>2307</v>
      </c>
      <c r="C535" s="114"/>
      <c r="D535" s="115"/>
    </row>
    <row r="536" spans="1:4" ht="15">
      <c r="A536" s="454" t="s">
        <v>600</v>
      </c>
      <c r="B536" s="453" t="s">
        <v>1244</v>
      </c>
      <c r="C536" s="114"/>
      <c r="D536" s="115"/>
    </row>
    <row r="537" spans="1:4" ht="15">
      <c r="A537" s="452" t="s">
        <v>2627</v>
      </c>
      <c r="B537" s="453" t="s">
        <v>2308</v>
      </c>
      <c r="C537" s="114"/>
      <c r="D537" s="115"/>
    </row>
    <row r="538" spans="1:4" ht="15">
      <c r="A538" s="452" t="s">
        <v>601</v>
      </c>
      <c r="B538" s="453" t="s">
        <v>2309</v>
      </c>
      <c r="C538" s="114"/>
      <c r="D538" s="115"/>
    </row>
    <row r="539" spans="1:4" ht="15">
      <c r="A539" s="452" t="s">
        <v>602</v>
      </c>
      <c r="B539" s="453" t="s">
        <v>2310</v>
      </c>
      <c r="C539" s="114"/>
      <c r="D539" s="115"/>
    </row>
    <row r="540" spans="1:4" ht="15">
      <c r="A540" s="452" t="s">
        <v>603</v>
      </c>
      <c r="B540" s="453" t="s">
        <v>2311</v>
      </c>
      <c r="C540" s="114"/>
      <c r="D540" s="115"/>
    </row>
    <row r="541" spans="1:4" ht="15">
      <c r="A541" s="452" t="s">
        <v>604</v>
      </c>
      <c r="B541" s="453" t="s">
        <v>1552</v>
      </c>
      <c r="C541" s="114"/>
      <c r="D541" s="115"/>
    </row>
    <row r="542" spans="1:4" ht="15">
      <c r="A542" s="452" t="s">
        <v>605</v>
      </c>
      <c r="B542" s="453" t="s">
        <v>2312</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2316</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2317</v>
      </c>
      <c r="C552" s="114"/>
      <c r="D552" s="115"/>
    </row>
    <row r="553" spans="1:4" ht="15">
      <c r="A553" s="452" t="s">
        <v>309</v>
      </c>
      <c r="B553" s="453" t="s">
        <v>2318</v>
      </c>
      <c r="C553" s="114"/>
      <c r="D553" s="115"/>
    </row>
    <row r="554" spans="1:4" ht="15">
      <c r="A554" s="454" t="s">
        <v>940</v>
      </c>
      <c r="B554" s="453" t="s">
        <v>2319</v>
      </c>
      <c r="C554" s="114"/>
      <c r="D554" s="115"/>
    </row>
    <row r="555" spans="1:4" ht="15">
      <c r="A555" s="452" t="s">
        <v>707</v>
      </c>
      <c r="B555" s="453" t="s">
        <v>2320</v>
      </c>
      <c r="C555" s="114"/>
      <c r="D555" s="115"/>
    </row>
    <row r="556" spans="1:4" ht="15">
      <c r="A556" s="452" t="s">
        <v>1683</v>
      </c>
      <c r="B556" s="453" t="s">
        <v>2321</v>
      </c>
      <c r="C556" s="114"/>
      <c r="D556" s="115"/>
    </row>
    <row r="557" spans="1:4" ht="15">
      <c r="A557" s="452" t="s">
        <v>1684</v>
      </c>
      <c r="B557" s="453" t="s">
        <v>1122</v>
      </c>
      <c r="C557" s="114"/>
      <c r="D557" s="115"/>
    </row>
    <row r="558" spans="1:4" ht="15">
      <c r="A558" s="452" t="s">
        <v>310</v>
      </c>
      <c r="B558" s="453" t="s">
        <v>2322</v>
      </c>
      <c r="C558" s="114"/>
      <c r="D558" s="115"/>
    </row>
    <row r="559" spans="1:4" ht="15">
      <c r="A559" s="452" t="s">
        <v>311</v>
      </c>
      <c r="B559" s="453" t="s">
        <v>2693</v>
      </c>
      <c r="C559" s="114"/>
      <c r="D559" s="115"/>
    </row>
    <row r="560" spans="1:4" ht="15">
      <c r="A560" s="452" t="s">
        <v>312</v>
      </c>
      <c r="B560" s="453" t="s">
        <v>2323</v>
      </c>
      <c r="C560" s="114"/>
      <c r="D560" s="115"/>
    </row>
    <row r="561" spans="1:4" ht="15">
      <c r="A561" s="452" t="s">
        <v>313</v>
      </c>
      <c r="B561" s="453" t="s">
        <v>2324</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2329</v>
      </c>
      <c r="C569" s="114"/>
      <c r="D569" s="115"/>
    </row>
    <row r="570" spans="1:4" ht="15">
      <c r="A570" s="452" t="s">
        <v>793</v>
      </c>
      <c r="B570" s="453" t="s">
        <v>1178</v>
      </c>
      <c r="C570" s="114"/>
      <c r="D570" s="115"/>
    </row>
    <row r="571" spans="1:4" ht="15">
      <c r="A571" s="452" t="s">
        <v>2628</v>
      </c>
      <c r="B571" s="453" t="s">
        <v>2330</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2332</v>
      </c>
      <c r="C575" s="114"/>
      <c r="D575" s="115"/>
    </row>
    <row r="576" spans="1:4" ht="15">
      <c r="A576" s="452" t="s">
        <v>709</v>
      </c>
      <c r="B576" s="453" t="s">
        <v>2333</v>
      </c>
      <c r="C576" s="114"/>
      <c r="D576" s="115"/>
    </row>
    <row r="577" spans="1:4" ht="15">
      <c r="A577" s="452" t="s">
        <v>607</v>
      </c>
      <c r="B577" s="453" t="s">
        <v>2334</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2346</v>
      </c>
      <c r="C583" s="114"/>
      <c r="D583" s="115"/>
    </row>
    <row r="584" spans="1:4" ht="15">
      <c r="A584" s="452" t="s">
        <v>861</v>
      </c>
      <c r="B584" s="453" t="s">
        <v>1617</v>
      </c>
      <c r="C584" s="114"/>
      <c r="D584" s="115"/>
    </row>
    <row r="585" spans="1:4" ht="15">
      <c r="A585" s="452" t="s">
        <v>862</v>
      </c>
      <c r="B585" s="453" t="s">
        <v>2337</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2341</v>
      </c>
      <c r="C589" s="114"/>
      <c r="D589" s="115"/>
    </row>
    <row r="590" spans="1:4" ht="15">
      <c r="A590" s="452" t="s">
        <v>799</v>
      </c>
      <c r="B590" s="457" t="s">
        <v>998</v>
      </c>
      <c r="C590" s="114"/>
      <c r="D590" s="115"/>
    </row>
    <row r="591" spans="1:4" ht="15">
      <c r="A591" s="452" t="s">
        <v>1686</v>
      </c>
      <c r="B591" s="453" t="s">
        <v>2347</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2700</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2348</v>
      </c>
      <c r="C601" s="114"/>
      <c r="D601" s="115"/>
    </row>
    <row r="602" spans="1:4" ht="15">
      <c r="A602" s="452" t="s">
        <v>321</v>
      </c>
      <c r="B602" s="453" t="s">
        <v>2694</v>
      </c>
      <c r="C602" s="114"/>
      <c r="D602" s="115"/>
    </row>
    <row r="603" spans="1:4" ht="15">
      <c r="A603" s="454" t="s">
        <v>479</v>
      </c>
      <c r="B603" s="453" t="s">
        <v>2350</v>
      </c>
      <c r="C603" s="114"/>
      <c r="D603" s="115"/>
    </row>
    <row r="604" spans="1:4" ht="15">
      <c r="A604" s="452" t="s">
        <v>322</v>
      </c>
      <c r="B604" s="453" t="s">
        <v>2695</v>
      </c>
      <c r="C604" s="114"/>
      <c r="D604" s="115"/>
    </row>
    <row r="605" spans="1:4" ht="15">
      <c r="A605" s="452" t="s">
        <v>323</v>
      </c>
      <c r="B605" s="453" t="s">
        <v>2696</v>
      </c>
      <c r="C605" s="114"/>
      <c r="D605" s="115"/>
    </row>
    <row r="606" spans="1:4" ht="15">
      <c r="A606" s="452" t="s">
        <v>324</v>
      </c>
      <c r="B606" s="453" t="s">
        <v>2353</v>
      </c>
      <c r="C606" s="114"/>
      <c r="D606" s="115"/>
    </row>
    <row r="607" spans="1:4" ht="15">
      <c r="A607" s="452" t="s">
        <v>325</v>
      </c>
      <c r="B607" s="453" t="s">
        <v>1557</v>
      </c>
      <c r="C607" s="114"/>
      <c r="D607" s="115"/>
    </row>
    <row r="608" spans="1:4" ht="15">
      <c r="A608" s="452" t="s">
        <v>608</v>
      </c>
      <c r="B608" s="453" t="s">
        <v>2355</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2364</v>
      </c>
      <c r="C611" s="114"/>
      <c r="D611" s="115"/>
    </row>
    <row r="612" spans="1:4" ht="15">
      <c r="A612" s="454" t="s">
        <v>609</v>
      </c>
      <c r="B612" s="453" t="s">
        <v>2365</v>
      </c>
      <c r="C612" s="114"/>
      <c r="D612" s="115"/>
    </row>
    <row r="613" spans="1:4" ht="15">
      <c r="A613" s="454" t="s">
        <v>610</v>
      </c>
      <c r="B613" s="453" t="s">
        <v>2366</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2367</v>
      </c>
      <c r="C618" s="114"/>
      <c r="D618" s="115"/>
    </row>
    <row r="619" spans="1:4" ht="15">
      <c r="A619" s="452" t="s">
        <v>616</v>
      </c>
      <c r="B619" s="453" t="s">
        <v>1251</v>
      </c>
      <c r="C619" s="114"/>
      <c r="D619" s="115"/>
    </row>
    <row r="620" spans="1:4" ht="15">
      <c r="A620" s="452" t="s">
        <v>635</v>
      </c>
      <c r="B620" s="453" t="s">
        <v>2383</v>
      </c>
      <c r="C620" s="114"/>
      <c r="D620" s="115"/>
    </row>
    <row r="621" spans="1:4" ht="15">
      <c r="A621" s="454" t="s">
        <v>617</v>
      </c>
      <c r="B621" s="453" t="s">
        <v>2368</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2629</v>
      </c>
      <c r="B625" s="453" t="s">
        <v>172</v>
      </c>
      <c r="C625" s="114"/>
      <c r="D625" s="115"/>
    </row>
    <row r="626" spans="1:4" ht="15">
      <c r="A626" s="454" t="s">
        <v>621</v>
      </c>
      <c r="B626" s="453" t="s">
        <v>1255</v>
      </c>
      <c r="C626" s="114"/>
      <c r="D626" s="115"/>
    </row>
    <row r="627" spans="1:4" ht="15">
      <c r="A627" s="454" t="s">
        <v>622</v>
      </c>
      <c r="B627" s="453" t="s">
        <v>2369</v>
      </c>
      <c r="C627" s="114"/>
      <c r="D627" s="115"/>
    </row>
    <row r="628" spans="1:4" ht="15">
      <c r="A628" s="454" t="s">
        <v>623</v>
      </c>
      <c r="B628" s="453" t="s">
        <v>1257</v>
      </c>
      <c r="C628" s="114"/>
      <c r="D628" s="115"/>
    </row>
    <row r="629" spans="1:4" ht="15">
      <c r="A629" s="454" t="s">
        <v>624</v>
      </c>
      <c r="B629" s="453" t="s">
        <v>2370</v>
      </c>
      <c r="C629" s="114"/>
      <c r="D629" s="115"/>
    </row>
    <row r="630" spans="1:4" ht="15">
      <c r="A630" s="454" t="s">
        <v>625</v>
      </c>
      <c r="B630" s="453" t="s">
        <v>2372</v>
      </c>
      <c r="C630" s="114"/>
      <c r="D630" s="115"/>
    </row>
    <row r="631" spans="1:4" ht="15">
      <c r="A631" s="454" t="s">
        <v>626</v>
      </c>
      <c r="B631" s="453" t="s">
        <v>171</v>
      </c>
      <c r="C631" s="114"/>
      <c r="D631" s="115"/>
    </row>
    <row r="632" spans="1:4" ht="15">
      <c r="A632" s="454" t="s">
        <v>627</v>
      </c>
      <c r="B632" s="453" t="s">
        <v>2373</v>
      </c>
      <c r="C632" s="114"/>
      <c r="D632" s="115"/>
    </row>
    <row r="633" spans="1:4" ht="15">
      <c r="A633" s="454" t="s">
        <v>628</v>
      </c>
      <c r="B633" s="453" t="s">
        <v>2374</v>
      </c>
      <c r="C633" s="114"/>
      <c r="D633" s="115"/>
    </row>
    <row r="634" spans="1:4" ht="15">
      <c r="A634" s="452" t="s">
        <v>629</v>
      </c>
      <c r="B634" s="453" t="s">
        <v>173</v>
      </c>
      <c r="C634" s="114"/>
      <c r="D634" s="115"/>
    </row>
    <row r="635" spans="1:4" ht="15">
      <c r="A635" s="452" t="s">
        <v>630</v>
      </c>
      <c r="B635" s="453" t="s">
        <v>2375</v>
      </c>
      <c r="C635" s="114"/>
      <c r="D635" s="115"/>
    </row>
    <row r="636" spans="1:4" ht="15">
      <c r="A636" s="452" t="s">
        <v>630</v>
      </c>
      <c r="B636" s="453" t="s">
        <v>2389</v>
      </c>
      <c r="C636" s="114"/>
      <c r="D636" s="115"/>
    </row>
    <row r="637" spans="1:4" ht="15">
      <c r="A637" s="452" t="s">
        <v>631</v>
      </c>
      <c r="B637" s="453" t="s">
        <v>2376</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2377</v>
      </c>
      <c r="C640" s="114"/>
      <c r="D640" s="115"/>
    </row>
    <row r="641" spans="1:4" ht="15">
      <c r="A641" s="452" t="s">
        <v>2630</v>
      </c>
      <c r="B641" s="453" t="s">
        <v>1246</v>
      </c>
      <c r="C641" s="114"/>
      <c r="D641" s="115"/>
    </row>
    <row r="642" spans="1:4" ht="15">
      <c r="A642" s="452" t="s">
        <v>2631</v>
      </c>
      <c r="B642" s="453" t="s">
        <v>2378</v>
      </c>
      <c r="C642" s="114"/>
      <c r="D642" s="115"/>
    </row>
    <row r="643" spans="1:4" ht="15">
      <c r="A643" s="452" t="s">
        <v>2632</v>
      </c>
      <c r="B643" s="453" t="s">
        <v>2379</v>
      </c>
      <c r="C643" s="114"/>
      <c r="D643" s="115"/>
    </row>
    <row r="644" spans="1:4" ht="15">
      <c r="A644" s="452" t="s">
        <v>2633</v>
      </c>
      <c r="B644" s="453" t="s">
        <v>2380</v>
      </c>
      <c r="C644" s="114"/>
      <c r="D644" s="115"/>
    </row>
    <row r="645" spans="1:4" ht="15">
      <c r="A645" s="452" t="s">
        <v>2634</v>
      </c>
      <c r="B645" s="453" t="s">
        <v>2381</v>
      </c>
      <c r="C645" s="114"/>
      <c r="D645" s="115"/>
    </row>
    <row r="646" spans="1:4" ht="15">
      <c r="A646" s="452" t="s">
        <v>2635</v>
      </c>
      <c r="B646" s="453" t="s">
        <v>2382</v>
      </c>
      <c r="C646" s="114"/>
      <c r="D646" s="115"/>
    </row>
    <row r="647" spans="1:4" ht="15">
      <c r="A647" s="452" t="s">
        <v>2637</v>
      </c>
      <c r="B647" s="453" t="s">
        <v>2384</v>
      </c>
      <c r="C647" s="114"/>
      <c r="D647" s="115"/>
    </row>
    <row r="648" spans="1:4" ht="15">
      <c r="A648" s="452" t="s">
        <v>2638</v>
      </c>
      <c r="B648" s="453" t="s">
        <v>2385</v>
      </c>
      <c r="C648" s="114"/>
      <c r="D648" s="115"/>
    </row>
    <row r="649" spans="1:4" ht="15">
      <c r="A649" s="452" t="s">
        <v>2639</v>
      </c>
      <c r="B649" s="453" t="s">
        <v>2386</v>
      </c>
      <c r="C649" s="114"/>
      <c r="D649" s="115"/>
    </row>
    <row r="650" spans="1:4" ht="15">
      <c r="A650" s="452" t="s">
        <v>2640</v>
      </c>
      <c r="B650" s="453" t="s">
        <v>2387</v>
      </c>
      <c r="C650" s="114"/>
      <c r="D650" s="115"/>
    </row>
    <row r="651" spans="1:4" ht="15">
      <c r="A651" s="452" t="s">
        <v>2640</v>
      </c>
      <c r="B651" s="453" t="s">
        <v>1256</v>
      </c>
      <c r="C651" s="114"/>
      <c r="D651" s="115"/>
    </row>
    <row r="652" spans="1:4" ht="15">
      <c r="A652" s="452" t="s">
        <v>2642</v>
      </c>
      <c r="B652" s="453" t="s">
        <v>2388</v>
      </c>
      <c r="C652" s="114"/>
      <c r="D652" s="115"/>
    </row>
    <row r="653" spans="1:4" ht="15">
      <c r="A653" s="452" t="s">
        <v>2643</v>
      </c>
      <c r="B653" s="453" t="s">
        <v>2697</v>
      </c>
      <c r="C653" s="114"/>
      <c r="D653" s="115"/>
    </row>
    <row r="654" spans="1:4" ht="15">
      <c r="A654" s="452" t="s">
        <v>2647</v>
      </c>
      <c r="B654" s="453" t="s">
        <v>2391</v>
      </c>
      <c r="C654" s="114"/>
      <c r="D654" s="115"/>
    </row>
    <row r="655" spans="1:4" ht="15">
      <c r="A655" s="452" t="s">
        <v>2645</v>
      </c>
      <c r="B655" s="453" t="s">
        <v>2698</v>
      </c>
      <c r="C655" s="114"/>
      <c r="D655" s="115"/>
    </row>
    <row r="656" spans="1:4" ht="15">
      <c r="A656" s="452" t="s">
        <v>2646</v>
      </c>
      <c r="B656" s="453" t="s">
        <v>2390</v>
      </c>
      <c r="C656" s="114"/>
      <c r="D656" s="115"/>
    </row>
    <row r="657" spans="1:4" ht="15">
      <c r="A657" s="452" t="s">
        <v>2648</v>
      </c>
      <c r="B657" s="453" t="s">
        <v>2392</v>
      </c>
      <c r="C657" s="114"/>
      <c r="D657" s="115"/>
    </row>
    <row r="658" spans="1:4" ht="15">
      <c r="A658" s="452" t="s">
        <v>2649</v>
      </c>
      <c r="B658" s="453" t="s">
        <v>2699</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2398</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2399</v>
      </c>
      <c r="C664" s="114"/>
      <c r="D664" s="115"/>
    </row>
    <row r="665" spans="1:4" ht="15">
      <c r="A665" s="452" t="s">
        <v>807</v>
      </c>
      <c r="B665" s="453" t="s">
        <v>2401</v>
      </c>
      <c r="C665" s="114"/>
      <c r="D665" s="115"/>
    </row>
    <row r="666" spans="1:4" ht="15">
      <c r="A666" s="452" t="s">
        <v>945</v>
      </c>
      <c r="B666" s="453" t="s">
        <v>2403</v>
      </c>
      <c r="C666" s="114"/>
      <c r="D666" s="115"/>
    </row>
    <row r="667" spans="1:4" ht="15">
      <c r="A667" s="454" t="s">
        <v>636</v>
      </c>
      <c r="B667" s="453" t="s">
        <v>175</v>
      </c>
      <c r="C667" s="114"/>
      <c r="D667" s="115"/>
    </row>
    <row r="668" spans="1:4" ht="15">
      <c r="A668" s="452" t="s">
        <v>637</v>
      </c>
      <c r="B668" s="453" t="s">
        <v>2404</v>
      </c>
      <c r="C668" s="114"/>
      <c r="D668" s="115"/>
    </row>
    <row r="669" spans="1:4" ht="15">
      <c r="A669" s="452" t="s">
        <v>638</v>
      </c>
      <c r="B669" s="453" t="s">
        <v>2701</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2405</v>
      </c>
      <c r="C672" s="114"/>
      <c r="D672" s="115"/>
    </row>
    <row r="673" spans="1:4" ht="15">
      <c r="A673" s="452" t="s">
        <v>2650</v>
      </c>
      <c r="B673" s="453" t="s">
        <v>2406</v>
      </c>
      <c r="C673" s="114"/>
      <c r="D673" s="115"/>
    </row>
    <row r="674" spans="1:4" ht="15">
      <c r="A674" s="452" t="s">
        <v>2651</v>
      </c>
      <c r="B674" s="453" t="s">
        <v>2407</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2408</v>
      </c>
      <c r="C677" s="114"/>
      <c r="D677" s="115"/>
    </row>
    <row r="678" spans="1:4" ht="15">
      <c r="A678" s="452" t="s">
        <v>483</v>
      </c>
      <c r="B678" s="453" t="s">
        <v>2409</v>
      </c>
      <c r="C678" s="114"/>
      <c r="D678" s="115"/>
    </row>
    <row r="679" spans="1:4" ht="15">
      <c r="A679" s="454" t="s">
        <v>643</v>
      </c>
      <c r="B679" s="453" t="s">
        <v>1304</v>
      </c>
      <c r="C679" s="114"/>
      <c r="D679" s="115"/>
    </row>
    <row r="680" spans="1:4" ht="15">
      <c r="A680" s="454" t="s">
        <v>644</v>
      </c>
      <c r="B680" s="453" t="s">
        <v>1305</v>
      </c>
      <c r="C680" s="114"/>
      <c r="D680" s="115"/>
    </row>
    <row r="681" spans="1:4" ht="15">
      <c r="A681" s="454" t="s">
        <v>2711</v>
      </c>
      <c r="B681" s="453" t="s">
        <v>2654</v>
      </c>
      <c r="C681" s="114"/>
      <c r="D681" s="115"/>
    </row>
    <row r="682" spans="1:4" ht="15">
      <c r="A682" s="452" t="s">
        <v>2652</v>
      </c>
      <c r="B682" s="453" t="s">
        <v>2410</v>
      </c>
      <c r="C682" s="114"/>
      <c r="D682" s="115"/>
    </row>
    <row r="683" spans="1:4" ht="15">
      <c r="A683" s="454" t="s">
        <v>645</v>
      </c>
      <c r="B683" s="453" t="s">
        <v>1306</v>
      </c>
      <c r="C683" s="114"/>
      <c r="D683" s="115"/>
    </row>
    <row r="684" spans="1:4" ht="15">
      <c r="A684" s="454" t="s">
        <v>2713</v>
      </c>
      <c r="B684" s="453" t="s">
        <v>2714</v>
      </c>
      <c r="C684" s="114"/>
      <c r="D684" s="115"/>
    </row>
    <row r="685" spans="1:4" ht="15">
      <c r="A685" s="452" t="s">
        <v>646</v>
      </c>
      <c r="B685" s="453" t="s">
        <v>2411</v>
      </c>
      <c r="C685" s="114"/>
      <c r="D685" s="115"/>
    </row>
    <row r="686" spans="1:4" ht="15">
      <c r="A686" s="452" t="s">
        <v>2653</v>
      </c>
      <c r="B686" s="453" t="s">
        <v>1595</v>
      </c>
      <c r="C686" s="114"/>
      <c r="D686" s="115"/>
    </row>
    <row r="687" spans="1:4" ht="15">
      <c r="A687" s="452" t="s">
        <v>1688</v>
      </c>
      <c r="B687" s="453" t="s">
        <v>2412</v>
      </c>
      <c r="C687" s="114"/>
      <c r="D687" s="115"/>
    </row>
    <row r="688" spans="1:4" ht="15">
      <c r="A688" s="452" t="s">
        <v>329</v>
      </c>
      <c r="B688" s="453" t="s">
        <v>1804</v>
      </c>
      <c r="C688" s="114"/>
      <c r="D688" s="115"/>
    </row>
    <row r="689" spans="1:4" ht="15">
      <c r="A689" s="452" t="s">
        <v>330</v>
      </c>
      <c r="B689" s="453" t="s">
        <v>2413</v>
      </c>
      <c r="C689" s="114"/>
      <c r="D689" s="115"/>
    </row>
    <row r="690" spans="1:4" ht="15">
      <c r="A690" s="452" t="s">
        <v>647</v>
      </c>
      <c r="B690" s="453" t="s">
        <v>2414</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2415</v>
      </c>
      <c r="C693" s="114"/>
      <c r="D693" s="115"/>
    </row>
    <row r="694" spans="1:4" ht="15">
      <c r="A694" s="452" t="s">
        <v>648</v>
      </c>
      <c r="B694" s="453" t="s">
        <v>1564</v>
      </c>
      <c r="C694" s="114"/>
      <c r="D694" s="115"/>
    </row>
    <row r="695" spans="1:4" ht="15">
      <c r="A695" s="452" t="s">
        <v>2656</v>
      </c>
      <c r="B695" s="453" t="s">
        <v>2416</v>
      </c>
      <c r="C695" s="114"/>
      <c r="D695" s="115"/>
    </row>
    <row r="696" spans="1:4" ht="15">
      <c r="A696" s="454" t="s">
        <v>649</v>
      </c>
      <c r="B696" s="453" t="s">
        <v>1307</v>
      </c>
      <c r="C696" s="114"/>
      <c r="D696" s="115"/>
    </row>
    <row r="697" spans="1:4" ht="15">
      <c r="A697" s="452" t="s">
        <v>2657</v>
      </c>
      <c r="B697" s="453" t="s">
        <v>2417</v>
      </c>
      <c r="C697" s="114"/>
      <c r="D697" s="115"/>
    </row>
    <row r="698" spans="1:4" ht="15">
      <c r="A698" s="489" t="s">
        <v>650</v>
      </c>
      <c r="B698" s="490" t="s">
        <v>1308</v>
      </c>
      <c r="C698" s="114"/>
      <c r="D698" s="115"/>
    </row>
    <row r="699" spans="1:4" ht="15">
      <c r="A699" s="493" t="s">
        <v>2658</v>
      </c>
      <c r="B699" s="494" t="s">
        <v>2418</v>
      </c>
      <c r="C699" s="114"/>
      <c r="D699" s="115"/>
    </row>
    <row r="700" spans="1:4" ht="15">
      <c r="A700" s="492" t="s">
        <v>2659</v>
      </c>
      <c r="B700" s="491" t="s">
        <v>2419</v>
      </c>
      <c r="C700" s="114"/>
      <c r="D700" s="115"/>
    </row>
    <row r="701" spans="1:4" ht="15">
      <c r="A701" s="452" t="s">
        <v>2660</v>
      </c>
      <c r="B701" s="453" t="s">
        <v>2420</v>
      </c>
      <c r="C701" s="114"/>
      <c r="D701" s="115"/>
    </row>
    <row r="702" spans="1:4" ht="15">
      <c r="A702" s="452" t="s">
        <v>2661</v>
      </c>
      <c r="B702" s="453" t="s">
        <v>2421</v>
      </c>
      <c r="C702" s="114"/>
      <c r="D702" s="115"/>
    </row>
    <row r="703" spans="1:4" ht="15">
      <c r="A703" s="452" t="s">
        <v>484</v>
      </c>
      <c r="B703" s="453" t="s">
        <v>1596</v>
      </c>
      <c r="C703" s="114"/>
      <c r="D703" s="115"/>
    </row>
    <row r="704" spans="1:4" ht="15">
      <c r="A704" s="454" t="s">
        <v>946</v>
      </c>
      <c r="B704" s="453" t="s">
        <v>2422</v>
      </c>
      <c r="C704" s="114"/>
      <c r="D704" s="115"/>
    </row>
    <row r="705" spans="1:4" ht="15">
      <c r="A705" s="452" t="s">
        <v>333</v>
      </c>
      <c r="B705" s="453" t="s">
        <v>2427</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2423</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2426</v>
      </c>
      <c r="C712" s="114"/>
      <c r="D712" s="115"/>
    </row>
    <row r="713" spans="1:4" ht="15">
      <c r="A713" s="454" t="s">
        <v>867</v>
      </c>
      <c r="B713" s="453" t="s">
        <v>2702</v>
      </c>
      <c r="C713" s="114"/>
      <c r="D713" s="115"/>
    </row>
    <row r="714" spans="1:4" ht="15">
      <c r="A714" s="454" t="s">
        <v>868</v>
      </c>
      <c r="B714" s="453" t="s">
        <v>2436</v>
      </c>
      <c r="C714" s="114"/>
      <c r="D714" s="115"/>
    </row>
    <row r="715" spans="1:4" ht="15">
      <c r="A715" s="452" t="s">
        <v>869</v>
      </c>
      <c r="B715" s="453" t="s">
        <v>2440</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2445</v>
      </c>
      <c r="C718" s="114"/>
      <c r="D718" s="115"/>
    </row>
    <row r="719" spans="1:4" ht="15">
      <c r="A719" s="452" t="s">
        <v>873</v>
      </c>
      <c r="B719" s="453" t="s">
        <v>2446</v>
      </c>
      <c r="C719" s="114"/>
      <c r="D719" s="115"/>
    </row>
    <row r="720" spans="1:4" ht="15">
      <c r="A720" s="452" t="s">
        <v>874</v>
      </c>
      <c r="B720" s="453" t="s">
        <v>1587</v>
      </c>
      <c r="C720" s="114"/>
      <c r="D720" s="115"/>
    </row>
    <row r="721" spans="1:4" ht="15">
      <c r="A721" s="452" t="s">
        <v>947</v>
      </c>
      <c r="B721" s="453" t="s">
        <v>2451</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2664</v>
      </c>
      <c r="B727" s="453" t="s">
        <v>2452</v>
      </c>
      <c r="C727" s="114"/>
      <c r="D727" s="115"/>
    </row>
    <row r="728" spans="1:4" ht="15">
      <c r="A728" s="452" t="s">
        <v>2663</v>
      </c>
      <c r="B728" s="453" t="s">
        <v>2662</v>
      </c>
      <c r="C728" s="114"/>
      <c r="D728" s="115"/>
    </row>
    <row r="729" spans="1:4" ht="15">
      <c r="A729" s="452" t="s">
        <v>2665</v>
      </c>
      <c r="B729" s="453" t="s">
        <v>2453</v>
      </c>
      <c r="C729" s="114"/>
      <c r="D729" s="115"/>
    </row>
    <row r="730" spans="1:4" ht="15">
      <c r="A730" s="452" t="s">
        <v>2666</v>
      </c>
      <c r="B730" s="453" t="s">
        <v>2454</v>
      </c>
      <c r="C730" s="114"/>
      <c r="D730" s="115"/>
    </row>
    <row r="731" spans="1:4" ht="15">
      <c r="A731" s="452" t="s">
        <v>488</v>
      </c>
      <c r="B731" s="453" t="s">
        <v>2455</v>
      </c>
      <c r="C731" s="114"/>
      <c r="D731" s="115"/>
    </row>
    <row r="732" spans="1:4" ht="15">
      <c r="A732" s="452" t="s">
        <v>489</v>
      </c>
      <c r="B732" s="453" t="s">
        <v>2456</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2457</v>
      </c>
      <c r="C740" s="114"/>
      <c r="D740" s="115"/>
    </row>
    <row r="741" spans="1:4" ht="15">
      <c r="A741" s="452" t="s">
        <v>652</v>
      </c>
      <c r="B741" s="453" t="s">
        <v>2458</v>
      </c>
      <c r="C741" s="114"/>
      <c r="D741" s="115"/>
    </row>
    <row r="742" spans="1:4" ht="15">
      <c r="A742" s="452" t="s">
        <v>653</v>
      </c>
      <c r="B742" s="453" t="s">
        <v>2459</v>
      </c>
      <c r="C742" s="114"/>
      <c r="D742" s="115"/>
    </row>
    <row r="743" spans="1:4" ht="15">
      <c r="A743" s="452" t="s">
        <v>1692</v>
      </c>
      <c r="B743" s="453" t="s">
        <v>2460</v>
      </c>
      <c r="C743" s="114"/>
      <c r="D743" s="115"/>
    </row>
    <row r="744" spans="1:4" ht="15">
      <c r="A744" s="452" t="s">
        <v>1693</v>
      </c>
      <c r="B744" s="453" t="s">
        <v>2461</v>
      </c>
      <c r="C744" s="114"/>
      <c r="D744" s="115"/>
    </row>
    <row r="745" spans="1:4" ht="15">
      <c r="A745" s="452" t="s">
        <v>491</v>
      </c>
      <c r="B745" s="453" t="s">
        <v>2463</v>
      </c>
      <c r="C745" s="114"/>
      <c r="D745" s="115"/>
    </row>
    <row r="746" spans="1:4" ht="15">
      <c r="A746" s="452" t="s">
        <v>492</v>
      </c>
      <c r="B746" s="453" t="s">
        <v>2464</v>
      </c>
      <c r="C746" s="114"/>
      <c r="D746" s="115"/>
    </row>
    <row r="747" spans="1:4" ht="15">
      <c r="A747" s="459" t="s">
        <v>493</v>
      </c>
      <c r="B747" s="453" t="s">
        <v>2465</v>
      </c>
      <c r="C747" s="114"/>
      <c r="D747" s="115"/>
    </row>
    <row r="748" spans="1:4" ht="15">
      <c r="A748" s="454" t="s">
        <v>494</v>
      </c>
      <c r="B748" s="453" t="s">
        <v>1463</v>
      </c>
      <c r="C748" s="114"/>
      <c r="D748" s="115"/>
    </row>
    <row r="749" spans="1:4" ht="15">
      <c r="A749" s="452" t="s">
        <v>495</v>
      </c>
      <c r="B749" s="453" t="s">
        <v>2466</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2475</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2486</v>
      </c>
      <c r="C760" s="114"/>
      <c r="D760" s="115"/>
    </row>
    <row r="761" spans="1:4" ht="15">
      <c r="A761" s="454" t="s">
        <v>948</v>
      </c>
      <c r="B761" s="453" t="s">
        <v>1160</v>
      </c>
      <c r="C761" s="114"/>
      <c r="D761" s="115"/>
    </row>
    <row r="762" spans="1:4" ht="15">
      <c r="A762" s="454" t="s">
        <v>654</v>
      </c>
      <c r="B762" s="453" t="s">
        <v>2496</v>
      </c>
      <c r="C762" s="114"/>
      <c r="D762" s="115"/>
    </row>
    <row r="763" spans="1:4" ht="15">
      <c r="A763" s="454" t="s">
        <v>501</v>
      </c>
      <c r="B763" s="453" t="s">
        <v>2498</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2703</v>
      </c>
      <c r="C767" s="114"/>
      <c r="D767" s="115"/>
    </row>
    <row r="768" spans="1:4" ht="15">
      <c r="A768" s="452" t="s">
        <v>497</v>
      </c>
      <c r="B768" s="453" t="s">
        <v>2492</v>
      </c>
      <c r="C768" s="114"/>
      <c r="D768" s="115"/>
    </row>
    <row r="769" spans="1:4" ht="15">
      <c r="A769" s="452" t="s">
        <v>498</v>
      </c>
      <c r="B769" s="453" t="s">
        <v>2493</v>
      </c>
      <c r="C769" s="114"/>
      <c r="D769" s="115"/>
    </row>
    <row r="770" spans="1:4" ht="15">
      <c r="A770" s="452" t="s">
        <v>499</v>
      </c>
      <c r="B770" s="453" t="s">
        <v>2494</v>
      </c>
      <c r="C770" s="114"/>
      <c r="D770" s="115"/>
    </row>
    <row r="771" spans="1:4" ht="15">
      <c r="A771" s="452" t="s">
        <v>206</v>
      </c>
      <c r="B771" s="453" t="s">
        <v>2499</v>
      </c>
      <c r="C771" s="114"/>
      <c r="D771" s="115"/>
    </row>
    <row r="772" spans="1:4" ht="15">
      <c r="A772" s="452" t="s">
        <v>500</v>
      </c>
      <c r="B772" s="453" t="s">
        <v>2495</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2490</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2491</v>
      </c>
      <c r="C782" s="114"/>
      <c r="D782" s="115"/>
    </row>
    <row r="783" spans="1:4" ht="15">
      <c r="A783" s="452" t="s">
        <v>346</v>
      </c>
      <c r="B783" s="453" t="s">
        <v>1104</v>
      </c>
      <c r="C783" s="114"/>
      <c r="D783" s="115"/>
    </row>
    <row r="784" spans="1:4" ht="15">
      <c r="A784" s="452" t="s">
        <v>347</v>
      </c>
      <c r="B784" s="453" t="s">
        <v>2500</v>
      </c>
      <c r="C784" s="114"/>
      <c r="D784" s="115"/>
    </row>
    <row r="785" spans="1:4" ht="15">
      <c r="A785" s="452" t="s">
        <v>505</v>
      </c>
      <c r="B785" s="453" t="s">
        <v>2501</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2667</v>
      </c>
      <c r="B792" s="453" t="s">
        <v>1654</v>
      </c>
      <c r="C792" s="114"/>
      <c r="D792" s="115"/>
    </row>
    <row r="793" spans="1:4" ht="15">
      <c r="A793" s="454" t="s">
        <v>656</v>
      </c>
      <c r="B793" s="453" t="s">
        <v>2712</v>
      </c>
      <c r="C793" s="114"/>
      <c r="D793" s="115"/>
    </row>
    <row r="794" spans="1:4" ht="15">
      <c r="A794" s="454" t="s">
        <v>506</v>
      </c>
      <c r="B794" s="453" t="s">
        <v>1465</v>
      </c>
      <c r="C794" s="114"/>
      <c r="D794" s="115"/>
    </row>
    <row r="795" spans="1:4" ht="15">
      <c r="A795" s="452" t="s">
        <v>2668</v>
      </c>
      <c r="B795" s="453" t="s">
        <v>2503</v>
      </c>
      <c r="C795" s="114"/>
      <c r="D795" s="115"/>
    </row>
    <row r="796" spans="1:4" ht="15">
      <c r="A796" s="452" t="s">
        <v>2669</v>
      </c>
      <c r="B796" s="453" t="s">
        <v>2504</v>
      </c>
      <c r="C796" s="114"/>
      <c r="D796" s="115"/>
    </row>
    <row r="797" spans="1:4" ht="15">
      <c r="A797" s="452" t="s">
        <v>2670</v>
      </c>
      <c r="B797" s="453" t="s">
        <v>2505</v>
      </c>
      <c r="C797" s="114"/>
      <c r="D797" s="115"/>
    </row>
    <row r="798" spans="1:4" ht="15">
      <c r="A798" s="452" t="s">
        <v>507</v>
      </c>
      <c r="B798" s="453" t="s">
        <v>2502</v>
      </c>
      <c r="C798" s="114"/>
      <c r="D798" s="115"/>
    </row>
    <row r="799" spans="1:4" ht="15">
      <c r="A799" s="452" t="s">
        <v>208</v>
      </c>
      <c r="B799" s="453" t="s">
        <v>2506</v>
      </c>
      <c r="C799" s="114"/>
      <c r="D799" s="115"/>
    </row>
    <row r="800" spans="1:4" ht="15">
      <c r="A800" s="452" t="s">
        <v>209</v>
      </c>
      <c r="B800" s="453" t="s">
        <v>2507</v>
      </c>
      <c r="C800" s="114"/>
      <c r="D800" s="115"/>
    </row>
    <row r="801" spans="1:4" ht="15">
      <c r="A801" s="452" t="s">
        <v>210</v>
      </c>
      <c r="B801" s="453" t="s">
        <v>2508</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2509</v>
      </c>
      <c r="C805" s="114"/>
      <c r="D805" s="115"/>
    </row>
    <row r="806" spans="1:4" ht="15">
      <c r="A806" s="452" t="s">
        <v>818</v>
      </c>
      <c r="B806" s="453" t="s">
        <v>2511</v>
      </c>
      <c r="C806" s="114"/>
      <c r="D806" s="115"/>
    </row>
    <row r="807" spans="1:4" ht="15">
      <c r="A807" s="452" t="s">
        <v>819</v>
      </c>
      <c r="B807" s="453" t="s">
        <v>1003</v>
      </c>
      <c r="C807" s="114"/>
      <c r="D807" s="115"/>
    </row>
    <row r="808" spans="1:4" ht="15">
      <c r="A808" s="452" t="s">
        <v>820</v>
      </c>
      <c r="B808" s="453" t="s">
        <v>2518</v>
      </c>
      <c r="C808" s="114"/>
      <c r="D808" s="115"/>
    </row>
    <row r="809" spans="1:4" ht="15">
      <c r="A809" s="452" t="s">
        <v>821</v>
      </c>
      <c r="B809" s="453" t="s">
        <v>2522</v>
      </c>
      <c r="C809" s="114"/>
      <c r="D809" s="115"/>
    </row>
    <row r="810" spans="1:4" ht="15">
      <c r="A810" s="452" t="s">
        <v>822</v>
      </c>
      <c r="B810" s="453" t="s">
        <v>1004</v>
      </c>
      <c r="C810" s="114"/>
      <c r="D810" s="115"/>
    </row>
    <row r="811" spans="1:4" ht="15">
      <c r="A811" s="452" t="s">
        <v>823</v>
      </c>
      <c r="B811" s="453" t="s">
        <v>1005</v>
      </c>
      <c r="C811" s="114"/>
      <c r="D811" s="115"/>
    </row>
    <row r="812" spans="1:4" ht="15">
      <c r="A812" s="452" t="s">
        <v>2671</v>
      </c>
      <c r="B812" s="453" t="s">
        <v>1771</v>
      </c>
      <c r="C812" s="114"/>
      <c r="D812" s="115"/>
    </row>
    <row r="813" spans="1:4" ht="15">
      <c r="A813" s="452" t="s">
        <v>824</v>
      </c>
      <c r="B813" s="453" t="s">
        <v>2526</v>
      </c>
      <c r="C813" s="114"/>
      <c r="D813" s="115"/>
    </row>
    <row r="814" spans="1:4" ht="15">
      <c r="A814" s="452" t="s">
        <v>825</v>
      </c>
      <c r="B814" s="453" t="s">
        <v>2528</v>
      </c>
      <c r="C814" s="114"/>
      <c r="D814" s="115"/>
    </row>
    <row r="815" spans="1:4" ht="15">
      <c r="A815" s="452" t="s">
        <v>826</v>
      </c>
      <c r="B815" s="453" t="s">
        <v>1006</v>
      </c>
      <c r="C815" s="114"/>
      <c r="D815" s="115"/>
    </row>
    <row r="816" spans="1:4" ht="15">
      <c r="A816" s="454" t="s">
        <v>953</v>
      </c>
      <c r="B816" s="453" t="s">
        <v>2529</v>
      </c>
      <c r="C816" s="114"/>
      <c r="D816" s="115"/>
    </row>
    <row r="817" spans="1:4" ht="15">
      <c r="A817" s="454" t="s">
        <v>659</v>
      </c>
      <c r="B817" s="453" t="s">
        <v>1310</v>
      </c>
      <c r="C817" s="114"/>
      <c r="D817" s="115"/>
    </row>
    <row r="818" spans="1:4" ht="15">
      <c r="A818" s="452" t="s">
        <v>969</v>
      </c>
      <c r="B818" s="453" t="s">
        <v>2510</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2530</v>
      </c>
      <c r="C822" s="114"/>
      <c r="D822" s="115"/>
    </row>
    <row r="823" spans="1:4" ht="15">
      <c r="A823" s="452" t="s">
        <v>352</v>
      </c>
      <c r="B823" s="453" t="s">
        <v>2531</v>
      </c>
      <c r="C823" s="114"/>
      <c r="D823" s="115"/>
    </row>
    <row r="824" spans="1:4" ht="15">
      <c r="A824" s="454" t="s">
        <v>955</v>
      </c>
      <c r="B824" s="453" t="s">
        <v>1162</v>
      </c>
      <c r="C824" s="114"/>
      <c r="D824" s="115"/>
    </row>
    <row r="825" spans="1:4" ht="15">
      <c r="A825" s="454" t="s">
        <v>956</v>
      </c>
      <c r="B825" s="453" t="s">
        <v>2534</v>
      </c>
      <c r="C825" s="114"/>
      <c r="D825" s="115"/>
    </row>
    <row r="826" spans="1:4" ht="15">
      <c r="A826" s="452" t="s">
        <v>660</v>
      </c>
      <c r="B826" s="453" t="s">
        <v>1311</v>
      </c>
      <c r="C826" s="114"/>
      <c r="D826" s="115"/>
    </row>
    <row r="827" spans="1:4" ht="15">
      <c r="A827" s="452" t="s">
        <v>661</v>
      </c>
      <c r="B827" s="453" t="s">
        <v>2536</v>
      </c>
      <c r="C827" s="114"/>
      <c r="D827" s="115"/>
    </row>
    <row r="828" spans="1:4" ht="15">
      <c r="A828" s="452" t="s">
        <v>353</v>
      </c>
      <c r="B828" s="453" t="s">
        <v>1108</v>
      </c>
      <c r="C828" s="114"/>
      <c r="D828" s="115"/>
    </row>
    <row r="829" spans="1:4" ht="15">
      <c r="A829" s="454" t="s">
        <v>957</v>
      </c>
      <c r="B829" s="453" t="s">
        <v>2537</v>
      </c>
      <c r="C829" s="114"/>
      <c r="D829" s="115"/>
    </row>
    <row r="830" spans="1:4" ht="15">
      <c r="A830" s="452" t="s">
        <v>354</v>
      </c>
      <c r="B830" s="453" t="s">
        <v>1109</v>
      </c>
      <c r="C830" s="114"/>
      <c r="D830" s="115"/>
    </row>
    <row r="831" spans="1:4" ht="15">
      <c r="A831" s="452" t="s">
        <v>827</v>
      </c>
      <c r="B831" s="453" t="s">
        <v>2538</v>
      </c>
      <c r="C831" s="114"/>
      <c r="D831" s="115"/>
    </row>
    <row r="832" spans="1:4" ht="15">
      <c r="A832" s="452" t="s">
        <v>711</v>
      </c>
      <c r="B832" s="453" t="s">
        <v>2541</v>
      </c>
      <c r="C832" s="114"/>
      <c r="D832" s="115"/>
    </row>
    <row r="833" spans="1:4" ht="15">
      <c r="A833" s="452" t="s">
        <v>355</v>
      </c>
      <c r="B833" s="453" t="s">
        <v>1110</v>
      </c>
      <c r="C833" s="114"/>
      <c r="D833" s="115"/>
    </row>
    <row r="834" spans="1:4" ht="15">
      <c r="A834" s="454" t="s">
        <v>958</v>
      </c>
      <c r="B834" s="457" t="s">
        <v>2542</v>
      </c>
      <c r="C834" s="114"/>
      <c r="D834" s="115"/>
    </row>
    <row r="835" spans="1:4" ht="15">
      <c r="A835" s="452" t="s">
        <v>509</v>
      </c>
      <c r="B835" s="453" t="s">
        <v>2545</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2551</v>
      </c>
      <c r="C846" s="114"/>
      <c r="D846" s="115"/>
    </row>
    <row r="847" spans="1:4" ht="15">
      <c r="A847" s="454" t="s">
        <v>512</v>
      </c>
      <c r="B847" s="453" t="s">
        <v>1468</v>
      </c>
      <c r="C847" s="114"/>
      <c r="D847" s="115"/>
    </row>
    <row r="848" spans="1:4" ht="15">
      <c r="A848" s="452" t="s">
        <v>513</v>
      </c>
      <c r="B848" s="453" t="s">
        <v>2552</v>
      </c>
      <c r="C848" s="114"/>
      <c r="D848" s="115"/>
    </row>
    <row r="849" spans="1:4" ht="15">
      <c r="A849" s="452" t="s">
        <v>514</v>
      </c>
      <c r="B849" s="453" t="s">
        <v>1469</v>
      </c>
      <c r="C849" s="114"/>
      <c r="D849" s="115"/>
    </row>
    <row r="850" spans="1:4" ht="15">
      <c r="A850" s="452" t="s">
        <v>515</v>
      </c>
      <c r="B850" s="453" t="s">
        <v>2553</v>
      </c>
      <c r="C850" s="114"/>
      <c r="D850" s="115"/>
    </row>
    <row r="851" spans="1:4" ht="15">
      <c r="A851" s="452" t="s">
        <v>516</v>
      </c>
      <c r="B851" s="453" t="s">
        <v>1575</v>
      </c>
      <c r="C851" s="114"/>
      <c r="D851" s="115"/>
    </row>
    <row r="852" spans="1:4" ht="15">
      <c r="A852" s="454" t="s">
        <v>965</v>
      </c>
      <c r="B852" s="453" t="s">
        <v>2554</v>
      </c>
      <c r="C852" s="114"/>
      <c r="D852" s="115"/>
    </row>
    <row r="853" spans="1:4" ht="15">
      <c r="A853" s="452" t="s">
        <v>356</v>
      </c>
      <c r="B853" s="453" t="s">
        <v>1111</v>
      </c>
      <c r="C853" s="114"/>
      <c r="D853" s="115"/>
    </row>
    <row r="854" spans="1:4" ht="15">
      <c r="A854" s="452" t="s">
        <v>663</v>
      </c>
      <c r="B854" s="453" t="s">
        <v>2556</v>
      </c>
      <c r="C854" s="114"/>
      <c r="D854" s="115"/>
    </row>
    <row r="855" spans="1:4" ht="15">
      <c r="A855" s="452" t="s">
        <v>664</v>
      </c>
      <c r="B855" s="453" t="s">
        <v>1598</v>
      </c>
      <c r="C855" s="114"/>
      <c r="D855" s="115"/>
    </row>
    <row r="856" spans="1:4" ht="15">
      <c r="A856" s="452" t="s">
        <v>665</v>
      </c>
      <c r="B856" s="453" t="s">
        <v>2557</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2558</v>
      </c>
      <c r="C860" s="114"/>
      <c r="D860" s="115"/>
    </row>
    <row r="861" spans="1:4" ht="15">
      <c r="A861" s="452" t="s">
        <v>670</v>
      </c>
      <c r="B861" s="453" t="s">
        <v>2559</v>
      </c>
      <c r="C861" s="114"/>
      <c r="D861" s="115"/>
    </row>
    <row r="862" spans="1:4" ht="15">
      <c r="A862" s="452" t="s">
        <v>671</v>
      </c>
      <c r="B862" s="453" t="s">
        <v>1398</v>
      </c>
      <c r="C862" s="114"/>
      <c r="D862" s="115"/>
    </row>
    <row r="863" spans="1:4" ht="15">
      <c r="A863" s="452" t="s">
        <v>357</v>
      </c>
      <c r="B863" s="453" t="s">
        <v>2705</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2672</v>
      </c>
      <c r="B873" s="453" t="s">
        <v>2560</v>
      </c>
      <c r="C873" s="114"/>
      <c r="D873" s="115"/>
    </row>
    <row r="874" spans="1:4" ht="15">
      <c r="A874" s="452" t="s">
        <v>361</v>
      </c>
      <c r="B874" s="453" t="s">
        <v>2561</v>
      </c>
      <c r="C874" s="114"/>
      <c r="D874" s="115"/>
    </row>
    <row r="875" spans="1:2" ht="15">
      <c r="A875" s="452" t="s">
        <v>362</v>
      </c>
      <c r="B875" s="453" t="s">
        <v>1577</v>
      </c>
    </row>
    <row r="876" spans="1:2" ht="15">
      <c r="A876" s="454" t="s">
        <v>673</v>
      </c>
      <c r="B876" s="453" t="s">
        <v>2706</v>
      </c>
    </row>
    <row r="877" spans="1:2" ht="15">
      <c r="A877" s="452" t="s">
        <v>674</v>
      </c>
      <c r="B877" s="453" t="s">
        <v>2562</v>
      </c>
    </row>
    <row r="878" spans="1:2" ht="15">
      <c r="A878" s="452" t="s">
        <v>675</v>
      </c>
      <c r="B878" s="453" t="s">
        <v>2563</v>
      </c>
    </row>
    <row r="879" spans="1:2" ht="15">
      <c r="A879" s="452" t="s">
        <v>676</v>
      </c>
      <c r="B879" s="453" t="s">
        <v>2564</v>
      </c>
    </row>
    <row r="880" spans="1:2" ht="15">
      <c r="A880" s="454" t="s">
        <v>677</v>
      </c>
      <c r="B880" s="453" t="s">
        <v>1399</v>
      </c>
    </row>
    <row r="881" spans="1:2" ht="15">
      <c r="A881" s="452" t="s">
        <v>2673</v>
      </c>
      <c r="B881" s="453" t="s">
        <v>1592</v>
      </c>
    </row>
    <row r="882" spans="1:2" ht="15">
      <c r="A882" s="452" t="s">
        <v>678</v>
      </c>
      <c r="B882" s="453" t="s">
        <v>1599</v>
      </c>
    </row>
    <row r="883" spans="1:2" ht="15">
      <c r="A883" s="452" t="s">
        <v>679</v>
      </c>
      <c r="B883" s="453" t="s">
        <v>2565</v>
      </c>
    </row>
    <row r="884" spans="1:2" ht="15">
      <c r="A884" s="452" t="s">
        <v>680</v>
      </c>
      <c r="B884" s="453" t="s">
        <v>1578</v>
      </c>
    </row>
    <row r="885" spans="1:2" ht="15">
      <c r="A885" s="452" t="s">
        <v>681</v>
      </c>
      <c r="B885" s="453" t="s">
        <v>2566</v>
      </c>
    </row>
    <row r="886" spans="1:2" ht="15">
      <c r="A886" s="452" t="s">
        <v>682</v>
      </c>
      <c r="B886" s="453" t="s">
        <v>2567</v>
      </c>
    </row>
    <row r="887" spans="1:2" ht="15">
      <c r="A887" s="454" t="s">
        <v>967</v>
      </c>
      <c r="B887" s="453" t="s">
        <v>2568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vbou</cp:lastModifiedBy>
  <cp:lastPrinted>2013-11-13T13:17:03Z</cp:lastPrinted>
  <dcterms:created xsi:type="dcterms:W3CDTF">2002-08-08T15:29:48Z</dcterms:created>
  <dcterms:modified xsi:type="dcterms:W3CDTF">2015-02-24T16:14:21Z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