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Meyne-Orange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'Meyne-Orange'!$A$1:$O$82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<sst xmlns="http://schemas.openxmlformats.org/spreadsheetml/2006/main" count="209" uniqueCount="93">
  <si>
    <t>Relevés floristiques aquatiques - IBMR</t>
  </si>
  <si>
    <t>GIS Macrophytes - juillet 2006</t>
  </si>
  <si>
    <t>Asconit</t>
  </si>
  <si>
    <t>AFA</t>
  </si>
  <si>
    <t>conforme AFNOR T90-395 oct. 2003</t>
  </si>
  <si>
    <t>Meyne</t>
  </si>
  <si>
    <t>Orange</t>
  </si>
  <si>
    <t>06118000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</si>
  <si>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</si>
  <si>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</si>
  <si>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</si>
  <si>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</si>
  <si>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</si>
  <si>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</si>
  <si>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</si>
  <si>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GRO.DEN</t>
  </si>
  <si>
    <t>Type de faciès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</si>
  <si>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</si>
  <si>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</si>
  <si>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</si>
  <si>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</si>
  <si>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</si>
  <si>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</si>
  <si>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</si>
  <si>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</si>
  <si>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</si>
  <si>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</si>
  <si>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</si>
  <si>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</si>
  <si>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</si>
  <si>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</si>
  <si>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</si>
  <si>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</si>
  <si>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</si>
  <si>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</si>
  <si>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</si>
  <si>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</si>
  <si>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</si>
  <si>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</si>
  <si>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</si>
  <si>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</si>
  <si>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</si>
  <si>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</si>
  <si>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</si>
  <si>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</si>
  <si>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</si>
  <si>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</si>
  <si>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</si>
  <si>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</si>
  <si>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</si>
  <si>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</si>
  <si>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</si>
  <si>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</si>
  <si>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</si>
  <si>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</si>
  <si>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</si>
  <si>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</si>
  <si>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</si>
  <si>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</si>
  <si>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</si>
  <si>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</si>
  <si>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</si>
  <si>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</si>
  <si>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</si>
  <si>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</si>
  <si>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</si>
  <si>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</si>
  <si>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</si>
  <si>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</si>
  <si>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</si>
  <si>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</si>
  <si>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</si>
  <si>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</si>
  <si>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CAL.PAL</t>
  </si>
  <si>
    <t>CAL.SPX</t>
  </si>
  <si>
    <t>POT.ACU</t>
  </si>
  <si>
    <t>POT.PEC</t>
  </si>
  <si>
    <t>ELO.CAN</t>
  </si>
  <si>
    <t>POT.CRI</t>
  </si>
  <si>
    <t>PHR.AUS</t>
  </si>
  <si>
    <t>POL.HYD</t>
  </si>
  <si>
    <t>NAS.OFF</t>
  </si>
  <si>
    <t>MYR.SPI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</si>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</sst>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17" borderId="24" xfId="0" applyNumberFormat="1" applyFont="1" applyFill="1" applyBorder="1" applyAlignment="1" applyProtection="1">
      <alignment horizontal="left" vertical="top"/>
      <protection hidden="1"/>
    </xf>
    <xf numFmtId="2" fontId="0" fillId="17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3" fillId="17" borderId="40" xfId="0" applyFont="1" applyFill="1" applyBorder="1" applyAlignment="1" applyProtection="1">
      <alignment horizontal="center" vertical="top"/>
      <protection hidden="1"/>
    </xf>
    <xf numFmtId="0" fontId="33" fillId="17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57200"/>
          <a:chOff x="788" y="1"/>
          <a:chExt cx="94" cy="47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IBMR-RCS-pertinenc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Buech-Serres"/>
      <sheetName val="Buech-Ribiers"/>
      <sheetName val="Coulon-Oppede"/>
      <sheetName val="Sorgue-Isle-Sorgue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9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30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22" sqref="A22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40017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8.09375</v>
      </c>
      <c r="M5" s="51"/>
      <c r="N5" s="52" t="s">
        <v>15</v>
      </c>
      <c r="O5" s="53">
        <v>7.423076923076923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/>
      <c r="C6" s="56" t="s">
        <v>17</v>
      </c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/>
      <c r="C7" s="66">
        <v>100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8.666666666666666</v>
      </c>
      <c r="O8" s="84">
        <f>AVERAGE(J23:J82)</f>
        <v>2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3</v>
      </c>
      <c r="O9" s="84">
        <f>STDEV(J23:J82)</f>
        <v>0.5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2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/>
      <c r="C11" s="110">
        <v>0</v>
      </c>
      <c r="D11" s="111"/>
      <c r="E11" s="111"/>
      <c r="F11" s="112">
        <f t="shared" si="0"/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12</v>
      </c>
      <c r="O11" s="107">
        <f>MAX(J23:J82)</f>
        <v>3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/>
      <c r="C12" s="120">
        <v>0</v>
      </c>
      <c r="D12" s="111"/>
      <c r="E12" s="111"/>
      <c r="F12" s="112">
        <f t="shared" si="0"/>
        <v>0</v>
      </c>
      <c r="G12" s="121"/>
      <c r="H12" s="67"/>
      <c r="I12" s="122" t="s">
        <v>36</v>
      </c>
      <c r="J12" s="123"/>
      <c r="K12" s="116">
        <f>COUNTIF($G$23:$G$82,"=ALG")</f>
        <v>0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/>
      <c r="C13" s="120">
        <v>0</v>
      </c>
      <c r="D13" s="111"/>
      <c r="E13" s="111"/>
      <c r="F13" s="112">
        <f t="shared" si="0"/>
        <v>0</v>
      </c>
      <c r="G13" s="121"/>
      <c r="H13" s="67"/>
      <c r="I13" s="128" t="s">
        <v>38</v>
      </c>
      <c r="J13" s="123"/>
      <c r="K13" s="116">
        <f>COUNTIF($G$23:$G$82,"=BRm")+COUNTIF($G$23:$G$82,"=BRh")</f>
        <v>0</v>
      </c>
      <c r="L13" s="117"/>
      <c r="M13" s="129" t="s">
        <v>39</v>
      </c>
      <c r="N13" s="130">
        <f>COUNTIF(F23:F82,"&gt;0")</f>
        <v>11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/>
      <c r="C14" s="120">
        <v>0</v>
      </c>
      <c r="D14" s="111"/>
      <c r="E14" s="111"/>
      <c r="F14" s="112">
        <f t="shared" si="0"/>
        <v>0</v>
      </c>
      <c r="G14" s="121"/>
      <c r="H14" s="67"/>
      <c r="I14" s="128" t="s">
        <v>41</v>
      </c>
      <c r="J14" s="123"/>
      <c r="K14" s="116">
        <f>COUNTIF($G$23:$G$82,"=PTE")</f>
        <v>0</v>
      </c>
      <c r="L14" s="117"/>
      <c r="M14" s="132" t="s">
        <v>42</v>
      </c>
      <c r="N14" s="133">
        <f>COUNTIF($I$23:$I$82,"&gt;-1")</f>
        <v>9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/>
      <c r="C15" s="137">
        <v>15.25</v>
      </c>
      <c r="D15" s="111"/>
      <c r="E15" s="111"/>
      <c r="F15" s="112">
        <f t="shared" si="0"/>
        <v>15.25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11</v>
      </c>
      <c r="L15" s="117"/>
      <c r="M15" s="138" t="s">
        <v>45</v>
      </c>
      <c r="N15" s="139">
        <f>COUNTIF(J23:J82,"=1")</f>
        <v>1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/>
      <c r="C16" s="110">
        <v>0</v>
      </c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7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/>
      <c r="C17" s="120">
        <v>15.17</v>
      </c>
      <c r="D17" s="111"/>
      <c r="E17" s="111"/>
      <c r="F17" s="145"/>
      <c r="G17" s="112">
        <f t="shared" si="0"/>
        <v>15.17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1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/>
      <c r="C18" s="149">
        <v>0.08</v>
      </c>
      <c r="D18" s="111"/>
      <c r="E18" s="150" t="s">
        <v>51</v>
      </c>
      <c r="F18" s="145"/>
      <c r="G18" s="112">
        <f t="shared" si="0"/>
        <v>0.08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15.25</v>
      </c>
      <c r="G19" s="158">
        <f>SUM(G16:G18)</f>
        <v>15.25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92</v>
      </c>
      <c r="B20" s="166">
        <f>SUM(B23:B82)</f>
        <v>0</v>
      </c>
      <c r="C20" s="167">
        <f>SUM(C23:C82)</f>
        <v>15.25</v>
      </c>
      <c r="D20" s="168"/>
      <c r="E20" s="169" t="s">
        <v>51</v>
      </c>
      <c r="F20" s="170">
        <f>($B20*$B$7+$C20*$C$7)/100</f>
        <v>15.25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0</v>
      </c>
      <c r="C21" s="179">
        <f>C20*C7/100</f>
        <v>15.25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15.25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73</v>
      </c>
      <c r="B23" s="203"/>
      <c r="C23" s="204">
        <v>0.01</v>
      </c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Callitriche palustris</v>
      </c>
      <c r="E23" s="205" t="e">
        <f>IF(D23="",,VLOOKUP(D23,D$22:D22,1,0))</f>
        <v>#N/A</v>
      </c>
      <c r="F23" s="206">
        <f aca="true" t="shared" si="1" ref="F23:F82">($B23*$B$7+$C23*$C$7)/100</f>
        <v>0.01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PHy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7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Callitriche palustris</v>
      </c>
      <c r="L23" s="212"/>
      <c r="M23" s="212"/>
      <c r="N23" s="212"/>
      <c r="O23" s="213"/>
      <c r="P23" s="214">
        <f aca="true" t="shared" si="2" ref="P23:P82">IF(ISTEXT(H23),"",(B23*$B$7/100)+(C23*$C$7/100))</f>
        <v>0.01</v>
      </c>
      <c r="Q23" s="215">
        <f>IF(OR(ISTEXT(H23),P23=0),"",IF(P23&lt;0.1,1,IF(P23&lt;1,2,IF(P23&lt;10,3,IF(P23&lt;50,4,IF(P23&gt;=50,5,""))))))</f>
        <v>1</v>
      </c>
      <c r="R23" s="215">
        <f aca="true" t="shared" si="3" ref="R23:R82">IF(ISERROR(Q23*I23),0,Q23*I23)</f>
        <v>0</v>
      </c>
      <c r="S23" s="215">
        <f aca="true" t="shared" si="4" ref="S23:S82">IF(ISERROR(Q23*I23*J23),0,Q23*I23*J23)</f>
        <v>0</v>
      </c>
      <c r="T23" s="215">
        <f aca="true" t="shared" si="5" ref="T23:T82">IF(ISERROR(Q23*J23),0,Q23*J23)</f>
        <v>0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CAL.PAL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325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74</v>
      </c>
      <c r="B24" s="222"/>
      <c r="C24" s="223">
        <v>0.01</v>
      </c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Callitiriche sp.        </v>
      </c>
      <c r="E24" s="224" t="e">
        <f>IF(D24="",,VLOOKUP(D24,D$22:D23,1,0))</f>
        <v>#N/A</v>
      </c>
      <c r="F24" s="225">
        <f t="shared" si="1"/>
        <v>0.01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PHy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7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Callitiriche sp.        </v>
      </c>
      <c r="L24" s="229"/>
      <c r="M24" s="229"/>
      <c r="N24" s="229"/>
      <c r="O24" s="213"/>
      <c r="P24" s="214">
        <f t="shared" si="2"/>
        <v>0.01</v>
      </c>
      <c r="Q24" s="215">
        <f aca="true" t="shared" si="8" ref="Q24:Q82">IF(OR(ISTEXT(H24),P24=0),"",IF(P24&lt;0.1,1,IF(P24&lt;1,2,IF(P24&lt;10,3,IF(P24&lt;50,4,IF(P24&gt;=50,5,""))))))</f>
        <v>1</v>
      </c>
      <c r="R24" s="215">
        <f t="shared" si="3"/>
        <v>0</v>
      </c>
      <c r="S24" s="215">
        <f t="shared" si="4"/>
        <v>0</v>
      </c>
      <c r="T24" s="230">
        <f t="shared" si="5"/>
        <v>0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CAL.SPX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314</v>
      </c>
      <c r="Z24" s="219"/>
      <c r="AA24" s="220"/>
      <c r="BB24" s="7">
        <f t="shared" si="7"/>
        <v>1</v>
      </c>
    </row>
    <row r="25" spans="1:54" ht="12.75">
      <c r="A25" s="221" t="s">
        <v>75</v>
      </c>
      <c r="B25" s="222"/>
      <c r="C25" s="223">
        <v>0.01</v>
      </c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Potamogeton acutifolius       </v>
      </c>
      <c r="E25" s="224" t="e">
        <f>IF(D25="",,VLOOKUP(D25,D$22:D24,1,0))</f>
        <v>#N/A</v>
      </c>
      <c r="F25" s="225">
        <f t="shared" si="1"/>
        <v>0.01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PHy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7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12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3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Potamogeton acutifolius       </v>
      </c>
      <c r="L25" s="229"/>
      <c r="M25" s="229"/>
      <c r="N25" s="229"/>
      <c r="O25" s="213"/>
      <c r="P25" s="214">
        <f t="shared" si="2"/>
        <v>0.01</v>
      </c>
      <c r="Q25" s="215">
        <f t="shared" si="8"/>
        <v>1</v>
      </c>
      <c r="R25" s="215">
        <f t="shared" si="3"/>
        <v>12</v>
      </c>
      <c r="S25" s="215">
        <f t="shared" si="4"/>
        <v>36</v>
      </c>
      <c r="T25" s="230">
        <f t="shared" si="5"/>
        <v>3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POT.ACU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408</v>
      </c>
      <c r="Z25" s="219"/>
      <c r="AA25" s="220"/>
      <c r="BB25" s="7">
        <f t="shared" si="7"/>
        <v>1</v>
      </c>
    </row>
    <row r="26" spans="1:54" ht="12.75">
      <c r="A26" s="221" t="s">
        <v>76</v>
      </c>
      <c r="B26" s="222"/>
      <c r="C26" s="223">
        <v>6</v>
      </c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Potamogeton pectinatus    </v>
      </c>
      <c r="E26" s="224" t="e">
        <f>IF(D26="",,VLOOKUP(D26,D$22:D25,1,0))</f>
        <v>#N/A</v>
      </c>
      <c r="F26" s="225">
        <f t="shared" si="1"/>
        <v>6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PHy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7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2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2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Potamogeton pectinatus    </v>
      </c>
      <c r="L26" s="229"/>
      <c r="M26" s="229"/>
      <c r="N26" s="229"/>
      <c r="O26" s="213"/>
      <c r="P26" s="214">
        <f>IF(ISTEXT(H26),"",(B26*$B$7/100)+(C26*$C$7/100))</f>
        <v>6</v>
      </c>
      <c r="Q26" s="215">
        <f t="shared" si="8"/>
        <v>3</v>
      </c>
      <c r="R26" s="215">
        <f>IF(ISERROR(Q26*I26),0,Q26*I26)</f>
        <v>6</v>
      </c>
      <c r="S26" s="215">
        <f>IF(ISERROR(Q26*I26*J26),0,Q26*I26*J26)</f>
        <v>12</v>
      </c>
      <c r="T26" s="230">
        <f>IF(ISERROR(Q26*J26),0,Q26*J26)</f>
        <v>6</v>
      </c>
      <c r="U26" s="216">
        <f t="shared" si="6"/>
      </c>
      <c r="V26" s="217" t="s">
        <v>52</v>
      </c>
      <c r="X26" s="218" t="str">
        <f>IF(A26="new.cod","NEW.COD",IF(AND((Y26=""),ISTEXT(A26)),A26,IF(Y26="","",INDEX('[1]liste reference'!$A$7:$A$906,Y26))))</f>
        <v>POT.PEC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425</v>
      </c>
      <c r="Z26" s="219"/>
      <c r="AA26" s="220"/>
      <c r="BB26" s="7">
        <f t="shared" si="7"/>
        <v>1</v>
      </c>
    </row>
    <row r="27" spans="1:54" ht="12.75">
      <c r="A27" s="221" t="s">
        <v>77</v>
      </c>
      <c r="B27" s="222"/>
      <c r="C27" s="223">
        <v>0.4</v>
      </c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Elodea canadensis</v>
      </c>
      <c r="E27" s="224" t="e">
        <f>IF(D27="",,VLOOKUP(D27,D$22:D26,1,0))</f>
        <v>#N/A</v>
      </c>
      <c r="F27" s="225">
        <f t="shared" si="1"/>
        <v>0.4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PHy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7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10</v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2</v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Elodea canadensis</v>
      </c>
      <c r="L27" s="229"/>
      <c r="M27" s="229"/>
      <c r="N27" s="229"/>
      <c r="O27" s="213"/>
      <c r="P27" s="214">
        <f t="shared" si="2"/>
        <v>0.4</v>
      </c>
      <c r="Q27" s="215">
        <f t="shared" si="8"/>
        <v>2</v>
      </c>
      <c r="R27" s="215">
        <f t="shared" si="3"/>
        <v>20</v>
      </c>
      <c r="S27" s="215">
        <f t="shared" si="4"/>
        <v>40</v>
      </c>
      <c r="T27" s="230">
        <f t="shared" si="5"/>
        <v>4</v>
      </c>
      <c r="U27" s="216">
        <f t="shared" si="6"/>
      </c>
      <c r="V27" s="217" t="s">
        <v>52</v>
      </c>
      <c r="X27" s="218" t="str">
        <f>IF(A27="new.cod","NEW.COD",IF(AND((Y27=""),ISTEXT(A27)),A27,IF(Y27="","",INDEX('[1]liste reference'!$A$7:$A$906,Y27))))</f>
        <v>ELO.CAN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344</v>
      </c>
      <c r="Z27" s="219"/>
      <c r="AA27" s="220"/>
      <c r="BB27" s="7">
        <f t="shared" si="7"/>
        <v>1</v>
      </c>
    </row>
    <row r="28" spans="1:54" ht="12.75">
      <c r="A28" s="221" t="s">
        <v>78</v>
      </c>
      <c r="B28" s="222"/>
      <c r="C28" s="223">
        <v>0.4</v>
      </c>
      <c r="D28" s="224" t="str">
        <f>IF(ISERROR(VLOOKUP($A28,'[1]liste reference'!$A$7:$D$906,2,0)),IF(ISERROR(VLOOKUP($A28,'[1]liste reference'!$B$7:$D$906,1,0)),"",VLOOKUP($A28,'[1]liste reference'!$B$7:$D$906,1,0)),VLOOKUP($A28,'[1]liste reference'!$A$7:$D$906,2,0))</f>
        <v>Potamogeton crispus</v>
      </c>
      <c r="E28" s="224" t="e">
        <f>IF(D28="",,VLOOKUP(D28,D$22:D27,1,0))</f>
        <v>#N/A</v>
      </c>
      <c r="F28" s="225">
        <f t="shared" si="1"/>
        <v>0.4</v>
      </c>
      <c r="G28" s="226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PHy</v>
      </c>
      <c r="H28" s="208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7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7</v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2</v>
      </c>
      <c r="K28" s="228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Potamogeton crispus</v>
      </c>
      <c r="L28" s="229"/>
      <c r="M28" s="229"/>
      <c r="N28" s="229"/>
      <c r="O28" s="213"/>
      <c r="P28" s="214">
        <f t="shared" si="2"/>
        <v>0.4</v>
      </c>
      <c r="Q28" s="215">
        <f t="shared" si="8"/>
        <v>2</v>
      </c>
      <c r="R28" s="215">
        <f t="shared" si="3"/>
        <v>14</v>
      </c>
      <c r="S28" s="215">
        <f t="shared" si="4"/>
        <v>28</v>
      </c>
      <c r="T28" s="230">
        <f t="shared" si="5"/>
        <v>4</v>
      </c>
      <c r="U28" s="216">
        <f t="shared" si="6"/>
      </c>
      <c r="V28" s="217" t="s">
        <v>52</v>
      </c>
      <c r="X28" s="218" t="str">
        <f>IF(A28="new.cod","NEW.COD",IF(AND((Y28=""),ISTEXT(A28)),A28,IF(Y28="","",INDEX('[1]liste reference'!$A$7:$A$906,Y28))))</f>
        <v>POT.CRI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413</v>
      </c>
      <c r="Z28" s="219"/>
      <c r="AA28" s="220"/>
      <c r="BB28" s="7">
        <f t="shared" si="7"/>
        <v>1</v>
      </c>
    </row>
    <row r="29" spans="1:54" ht="12.75">
      <c r="A29" s="221" t="s">
        <v>79</v>
      </c>
      <c r="B29" s="222"/>
      <c r="C29" s="223">
        <v>0.01</v>
      </c>
      <c r="D29" s="224" t="str">
        <f>IF(ISERROR(VLOOKUP($A29,'[1]liste reference'!$A$7:$D$906,2,0)),IF(ISERROR(VLOOKUP($A29,'[1]liste reference'!$B$7:$D$906,1,0)),"",VLOOKUP($A29,'[1]liste reference'!$B$7:$D$906,1,0)),VLOOKUP($A29,'[1]liste reference'!$A$7:$D$906,2,0))</f>
        <v>Phragmites australis</v>
      </c>
      <c r="E29" s="224" t="e">
        <f>IF(D29="",,VLOOKUP(D29,D$22:D28,1,0))</f>
        <v>#N/A</v>
      </c>
      <c r="F29" s="225">
        <f t="shared" si="1"/>
        <v>0.01</v>
      </c>
      <c r="G29" s="226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PHe</v>
      </c>
      <c r="H29" s="208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8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9</v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2</v>
      </c>
      <c r="K29" s="228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Phragmites australis</v>
      </c>
      <c r="L29" s="229"/>
      <c r="M29" s="229"/>
      <c r="N29" s="229"/>
      <c r="O29" s="213"/>
      <c r="P29" s="214">
        <f>IF(ISTEXT(H29),"",(B29*$B$7/100)+(C29*$C$7/100))</f>
        <v>0.01</v>
      </c>
      <c r="Q29" s="215">
        <f t="shared" si="8"/>
        <v>1</v>
      </c>
      <c r="R29" s="215">
        <f>IF(ISERROR(Q29*I29),0,Q29*I29)</f>
        <v>9</v>
      </c>
      <c r="S29" s="215">
        <f>IF(ISERROR(Q29*I29*J29),0,Q29*I29*J29)</f>
        <v>18</v>
      </c>
      <c r="T29" s="230">
        <f>IF(ISERROR(Q29*J29),0,Q29*J29)</f>
        <v>2</v>
      </c>
      <c r="U29" s="216">
        <f t="shared" si="6"/>
      </c>
      <c r="V29" s="217" t="s">
        <v>52</v>
      </c>
      <c r="X29" s="218" t="str">
        <f>IF(A29="new.cod","NEW.COD",IF(AND((Y29=""),ISTEXT(A29)),A29,IF(Y29="","",INDEX('[1]liste reference'!$A$7:$A$906,Y29))))</f>
        <v>PHR.AUS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641</v>
      </c>
      <c r="Z29" s="219"/>
      <c r="AA29" s="220"/>
      <c r="BB29" s="7">
        <f t="shared" si="7"/>
        <v>1</v>
      </c>
    </row>
    <row r="30" spans="1:54" ht="12.75">
      <c r="A30" s="221" t="s">
        <v>80</v>
      </c>
      <c r="B30" s="222"/>
      <c r="C30" s="223">
        <v>0.01</v>
      </c>
      <c r="D30" s="224" t="str">
        <f>IF(ISERROR(VLOOKUP($A30,'[1]liste reference'!$A$7:$D$906,2,0)),IF(ISERROR(VLOOKUP($A30,'[1]liste reference'!$B$7:$D$906,1,0)),"",VLOOKUP($A30,'[1]liste reference'!$B$7:$D$906,1,0)),VLOOKUP($A30,'[1]liste reference'!$A$7:$D$906,2,0))</f>
        <v>Polygonum hydropiper (Persicaria hydropiper)</v>
      </c>
      <c r="E30" s="224" t="e">
        <f>IF(D30="",,VLOOKUP(D30,D$22:D29,1,0))</f>
        <v>#N/A</v>
      </c>
      <c r="F30" s="225">
        <f t="shared" si="1"/>
        <v>0.01</v>
      </c>
      <c r="G30" s="226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PHe</v>
      </c>
      <c r="H30" s="208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8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8</v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2</v>
      </c>
      <c r="K30" s="228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Polygonum hydropiper (Persicaria hydropiper)</v>
      </c>
      <c r="L30" s="229"/>
      <c r="M30" s="229"/>
      <c r="N30" s="229"/>
      <c r="O30" s="213"/>
      <c r="P30" s="214">
        <f t="shared" si="2"/>
        <v>0.01</v>
      </c>
      <c r="Q30" s="215">
        <f t="shared" si="8"/>
        <v>1</v>
      </c>
      <c r="R30" s="215">
        <f t="shared" si="3"/>
        <v>8</v>
      </c>
      <c r="S30" s="215">
        <f t="shared" si="4"/>
        <v>16</v>
      </c>
      <c r="T30" s="230">
        <f t="shared" si="5"/>
        <v>2</v>
      </c>
      <c r="U30" s="216">
        <f t="shared" si="6"/>
      </c>
      <c r="V30" s="217" t="s">
        <v>52</v>
      </c>
      <c r="X30" s="218" t="str">
        <f>IF(A30="new.cod","NEW.COD",IF(AND((Y30=""),ISTEXT(A30)),A30,IF(Y30="","",INDEX('[1]liste reference'!$A$7:$A$906,Y30))))</f>
        <v>POL.HYD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643</v>
      </c>
      <c r="Z30" s="219"/>
      <c r="AA30" s="220"/>
      <c r="BB30" s="7">
        <f t="shared" si="7"/>
        <v>1</v>
      </c>
    </row>
    <row r="31" spans="1:54" ht="12.75">
      <c r="A31" s="221" t="s">
        <v>15</v>
      </c>
      <c r="B31" s="222"/>
      <c r="C31" s="223">
        <v>8.17</v>
      </c>
      <c r="D31" s="224" t="str">
        <f>IF(ISERROR(VLOOKUP($A31,'[1]liste reference'!$A$7:$D$906,2,0)),IF(ISERROR(VLOOKUP($A31,'[1]liste reference'!$B$7:$D$906,1,0)),"",VLOOKUP($A31,'[1]liste reference'!$B$7:$D$906,1,0)),VLOOKUP($A31,'[1]liste reference'!$A$7:$D$906,2,0))</f>
        <v>Groenlandia densa (Potamogeton densus)</v>
      </c>
      <c r="E31" s="224" t="e">
        <f>IF(D31="",,VLOOKUP(D31,D$21:D30,1,0))</f>
        <v>#N/A</v>
      </c>
      <c r="F31" s="225">
        <f t="shared" si="1"/>
        <v>8.17</v>
      </c>
      <c r="G31" s="226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PHy</v>
      </c>
      <c r="H31" s="208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7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  <v>11</v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  <v>2</v>
      </c>
      <c r="K31" s="228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Groenlandia densa (Potamogeton densus)</v>
      </c>
      <c r="L31" s="229"/>
      <c r="M31" s="229"/>
      <c r="N31" s="229"/>
      <c r="O31" s="213"/>
      <c r="P31" s="214">
        <f t="shared" si="2"/>
        <v>8.17</v>
      </c>
      <c r="Q31" s="215">
        <f t="shared" si="8"/>
        <v>3</v>
      </c>
      <c r="R31" s="215">
        <f t="shared" si="3"/>
        <v>33</v>
      </c>
      <c r="S31" s="215">
        <f t="shared" si="4"/>
        <v>66</v>
      </c>
      <c r="T31" s="230">
        <f t="shared" si="5"/>
        <v>6</v>
      </c>
      <c r="U31" s="216">
        <f t="shared" si="6"/>
      </c>
      <c r="V31" s="217" t="s">
        <v>52</v>
      </c>
      <c r="W31" s="231"/>
      <c r="X31" s="218" t="str">
        <f>IF(A31="new.cod","NEW.COD",IF(AND((Y31=""),ISTEXT(A31)),A31,IF(Y31="","",INDEX('[1]liste reference'!$A$7:$A$906,Y31))))</f>
        <v>GRO.DEN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348</v>
      </c>
      <c r="Z31" s="219"/>
      <c r="AA31" s="220"/>
      <c r="BB31" s="7">
        <f t="shared" si="7"/>
        <v>1</v>
      </c>
    </row>
    <row r="32" spans="1:54" ht="12.75">
      <c r="A32" s="221" t="s">
        <v>81</v>
      </c>
      <c r="B32" s="222"/>
      <c r="C32" s="223">
        <v>0.06</v>
      </c>
      <c r="D32" s="224" t="str">
        <f>IF(ISERROR(VLOOKUP($A32,'[1]liste reference'!$A$7:$D$906,2,0)),IF(ISERROR(VLOOKUP($A32,'[1]liste reference'!$B$7:$D$906,1,0)),"",VLOOKUP($A32,'[1]liste reference'!$B$7:$D$906,1,0)),VLOOKUP($A32,'[1]liste reference'!$A$7:$D$906,2,0))</f>
        <v>Nasturtium officinale (Rorippa nasturtium-aquaticum)</v>
      </c>
      <c r="E32" s="224" t="e">
        <f>IF(D32="",,VLOOKUP(D32,D$22:D31,1,0))</f>
        <v>#N/A</v>
      </c>
      <c r="F32" s="225">
        <f t="shared" si="1"/>
        <v>0.06</v>
      </c>
      <c r="G32" s="226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PHe</v>
      </c>
      <c r="H32" s="208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8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11</v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1</v>
      </c>
      <c r="K32" s="228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Nasturtium officinale (Rorippa nasturtium-aquaticum)</v>
      </c>
      <c r="L32" s="229"/>
      <c r="M32" s="229"/>
      <c r="N32" s="229"/>
      <c r="O32" s="213"/>
      <c r="P32" s="214">
        <f t="shared" si="2"/>
        <v>0.06</v>
      </c>
      <c r="Q32" s="215">
        <f t="shared" si="8"/>
        <v>1</v>
      </c>
      <c r="R32" s="215">
        <f t="shared" si="3"/>
        <v>11</v>
      </c>
      <c r="S32" s="215">
        <f t="shared" si="4"/>
        <v>11</v>
      </c>
      <c r="T32" s="230">
        <f t="shared" si="5"/>
        <v>1</v>
      </c>
      <c r="U32" s="216">
        <f t="shared" si="6"/>
      </c>
      <c r="V32" s="217" t="s">
        <v>52</v>
      </c>
      <c r="X32" s="218" t="str">
        <f>IF(A32="new.cod","NEW.COD",IF(AND((Y32=""),ISTEXT(A32)),A32,IF(Y32="","",INDEX('[1]liste reference'!$A$7:$A$906,Y32))))</f>
        <v>NAS.OFF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634</v>
      </c>
      <c r="Z32" s="219"/>
      <c r="AA32" s="220"/>
      <c r="BB32" s="7">
        <f t="shared" si="7"/>
        <v>1</v>
      </c>
    </row>
    <row r="33" spans="1:54" ht="12.75">
      <c r="A33" s="221" t="s">
        <v>82</v>
      </c>
      <c r="B33" s="222"/>
      <c r="C33" s="223">
        <v>0.17</v>
      </c>
      <c r="D33" s="224" t="str">
        <f>IF(ISERROR(VLOOKUP($A33,'[1]liste reference'!$A$7:$D$906,2,0)),IF(ISERROR(VLOOKUP($A33,'[1]liste reference'!$B$7:$D$906,1,0)),"",VLOOKUP($A33,'[1]liste reference'!$B$7:$D$906,1,0)),VLOOKUP($A33,'[1]liste reference'!$A$7:$D$906,2,0))</f>
        <v>Myriophyllum spicatum</v>
      </c>
      <c r="E33" s="224" t="e">
        <f>IF(D33="",,VLOOKUP(D33,D$22:D32,1,0))</f>
        <v>#N/A</v>
      </c>
      <c r="F33" s="225">
        <f t="shared" si="1"/>
        <v>0.17</v>
      </c>
      <c r="G33" s="226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PHy</v>
      </c>
      <c r="H33" s="208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7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  <v>8</v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  <v>2</v>
      </c>
      <c r="K33" s="228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Myriophyllum spicatum</v>
      </c>
      <c r="L33" s="232"/>
      <c r="M33" s="232"/>
      <c r="N33" s="232"/>
      <c r="O33" s="233"/>
      <c r="P33" s="214">
        <f t="shared" si="2"/>
        <v>0.17</v>
      </c>
      <c r="Q33" s="215">
        <f t="shared" si="8"/>
        <v>2</v>
      </c>
      <c r="R33" s="215">
        <f t="shared" si="3"/>
        <v>16</v>
      </c>
      <c r="S33" s="215">
        <f t="shared" si="4"/>
        <v>32</v>
      </c>
      <c r="T33" s="230">
        <f t="shared" si="5"/>
        <v>4</v>
      </c>
      <c r="U33" s="216">
        <f t="shared" si="6"/>
      </c>
      <c r="V33" s="217" t="s">
        <v>52</v>
      </c>
      <c r="X33" s="218" t="str">
        <f>IF(A33="new.cod","NEW.COD",IF(AND((Y33=""),ISTEXT(A33)),A33,IF(Y33="","",INDEX('[1]liste reference'!$A$7:$A$906,Y33))))</f>
        <v>MYR.SPI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377</v>
      </c>
      <c r="Z33" s="219"/>
      <c r="AA33" s="220"/>
      <c r="BB33" s="7">
        <f t="shared" si="7"/>
        <v>1</v>
      </c>
    </row>
    <row r="34" spans="1:54" ht="12.75">
      <c r="A34" s="221" t="s">
        <v>52</v>
      </c>
      <c r="B34" s="222"/>
      <c r="C34" s="223"/>
      <c r="D34" s="224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24">
        <f>IF(D34="",,VLOOKUP(D34,D$22:D33,1,0))</f>
        <v>0</v>
      </c>
      <c r="F34" s="234">
        <f t="shared" si="1"/>
        <v>0</v>
      </c>
      <c r="G34" s="226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208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32"/>
      <c r="M34" s="232"/>
      <c r="N34" s="232"/>
      <c r="O34" s="233"/>
      <c r="P34" s="214">
        <f t="shared" si="2"/>
      </c>
      <c r="Q34" s="215">
        <f t="shared" si="8"/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52</v>
      </c>
      <c r="X34" s="218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19"/>
      <c r="AA34" s="220"/>
      <c r="BB34" s="7">
        <f t="shared" si="7"/>
      </c>
    </row>
    <row r="35" spans="1:54" ht="12.75">
      <c r="A35" s="221" t="s">
        <v>52</v>
      </c>
      <c r="B35" s="222"/>
      <c r="C35" s="223"/>
      <c r="D35" s="224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24">
        <f>IF(D35="",,VLOOKUP(D35,D$22:D34,1,0))</f>
        <v>0</v>
      </c>
      <c r="F35" s="234">
        <f t="shared" si="1"/>
        <v>0</v>
      </c>
      <c r="G35" s="226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208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28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29"/>
      <c r="M35" s="229"/>
      <c r="N35" s="229"/>
      <c r="O35" s="213"/>
      <c r="P35" s="214">
        <f t="shared" si="2"/>
      </c>
      <c r="Q35" s="215">
        <f t="shared" si="8"/>
      </c>
      <c r="R35" s="215">
        <f t="shared" si="3"/>
        <v>0</v>
      </c>
      <c r="S35" s="215">
        <f t="shared" si="4"/>
        <v>0</v>
      </c>
      <c r="T35" s="230">
        <f t="shared" si="5"/>
        <v>0</v>
      </c>
      <c r="U35" s="216">
        <f t="shared" si="6"/>
      </c>
      <c r="V35" s="217" t="s">
        <v>52</v>
      </c>
      <c r="X35" s="218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19"/>
      <c r="AA35" s="220"/>
      <c r="BB35" s="7">
        <f t="shared" si="7"/>
      </c>
    </row>
    <row r="36" spans="1:54" ht="12.75">
      <c r="A36" s="221" t="s">
        <v>52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52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52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52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52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52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52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52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52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52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52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52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52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52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52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83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Meyne</v>
      </c>
      <c r="B84" s="255" t="str">
        <f>C3</f>
        <v>Orange</v>
      </c>
      <c r="C84" s="256">
        <f>A4</f>
        <v>40017</v>
      </c>
      <c r="D84" s="257">
        <f>IF(ISERROR(SUM($S$23:$S$82)/SUM($T$23:$T$82)),"",SUM($S$23:$S$82)/SUM($T$23:$T$82))</f>
        <v>8.09375</v>
      </c>
      <c r="E84" s="258">
        <f>N13</f>
        <v>11</v>
      </c>
      <c r="F84" s="255">
        <f>N14</f>
        <v>9</v>
      </c>
      <c r="G84" s="255">
        <f>N15</f>
        <v>1</v>
      </c>
      <c r="H84" s="255">
        <f>N16</f>
        <v>7</v>
      </c>
      <c r="I84" s="255">
        <f>N17</f>
        <v>1</v>
      </c>
      <c r="J84" s="259">
        <f>N8</f>
        <v>8.666666666666666</v>
      </c>
      <c r="K84" s="257">
        <f>N9</f>
        <v>3</v>
      </c>
      <c r="L84" s="258">
        <f>N10</f>
        <v>2</v>
      </c>
      <c r="M84" s="258">
        <f>N11</f>
        <v>12</v>
      </c>
      <c r="N84" s="257">
        <f>O8</f>
        <v>2</v>
      </c>
      <c r="O84" s="257">
        <f>O9</f>
        <v>0.5</v>
      </c>
      <c r="P84" s="258">
        <f>O10</f>
        <v>1</v>
      </c>
      <c r="Q84" s="258">
        <f>O11</f>
        <v>3</v>
      </c>
      <c r="R84" s="260">
        <f>F21</f>
        <v>15.25</v>
      </c>
      <c r="S84" s="258">
        <f>K11</f>
        <v>0</v>
      </c>
      <c r="T84" s="258">
        <f>K12</f>
        <v>0</v>
      </c>
      <c r="U84" s="258">
        <f>K13</f>
        <v>0</v>
      </c>
      <c r="V84" s="261">
        <f>K14</f>
        <v>0</v>
      </c>
      <c r="W84" s="262">
        <f>K15</f>
        <v>11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84</v>
      </c>
      <c r="Q86" s="7"/>
      <c r="R86" s="216"/>
      <c r="S86" s="7"/>
      <c r="T86" s="7"/>
      <c r="U86" s="7"/>
    </row>
    <row r="87" spans="16:21" ht="12.75" hidden="1">
      <c r="P87" s="7" t="s">
        <v>85</v>
      </c>
      <c r="Q87" s="7"/>
      <c r="R87" s="216">
        <f>VLOOKUP(MAX($R$23:$R$82),($R$23:$T$82),1,0)</f>
        <v>33</v>
      </c>
      <c r="S87" s="7"/>
      <c r="T87" s="7"/>
      <c r="U87" s="7"/>
    </row>
    <row r="88" spans="16:21" ht="12.75" hidden="1">
      <c r="P88" s="7" t="s">
        <v>86</v>
      </c>
      <c r="Q88" s="7"/>
      <c r="R88" s="216">
        <f>VLOOKUP((R87),($R$23:$T$82),2,0)</f>
        <v>66</v>
      </c>
      <c r="S88" s="7"/>
      <c r="T88" s="7"/>
      <c r="U88" s="7"/>
    </row>
    <row r="89" spans="16:19" ht="12.75" hidden="1">
      <c r="P89" s="7" t="s">
        <v>87</v>
      </c>
      <c r="Q89" s="7"/>
      <c r="R89" s="216">
        <f>VLOOKUP((R87),($R$23:$T$82),3,0)</f>
        <v>6</v>
      </c>
      <c r="S89" s="7"/>
    </row>
    <row r="90" spans="16:19" ht="12.75" hidden="1">
      <c r="P90" s="7" t="s">
        <v>88</v>
      </c>
      <c r="Q90" s="7"/>
      <c r="R90" s="265">
        <f>IF(ISERROR(SUM($S$23:$S$82)/SUM($T$23:$T$82)),"",(SUM($S$23:$S$82)-R88)/(SUM($T$23:$T$82)-R89))</f>
        <v>7.423076923076923</v>
      </c>
      <c r="S90" s="7"/>
    </row>
    <row r="91" spans="16:20" ht="12.75" hidden="1">
      <c r="P91" s="215" t="s">
        <v>89</v>
      </c>
      <c r="Q91" s="215"/>
      <c r="R91" s="215" t="str">
        <f>INDEX('[1]liste reference'!$A$7:$A$906,$S$91)</f>
        <v>GRO.DEN</v>
      </c>
      <c r="S91" s="7">
        <f>IF(ISERROR(MATCH($R$93,'[1]liste reference'!$A$7:$A$906,0)),MATCH($R$93,'[1]liste reference'!$B$7:$B$906,0),(MATCH($R$93,'[1]liste reference'!$A$7:$A$906,0)))</f>
        <v>348</v>
      </c>
      <c r="T91" s="253"/>
    </row>
    <row r="92" spans="16:19" ht="12.75" hidden="1">
      <c r="P92" s="7" t="s">
        <v>90</v>
      </c>
      <c r="Q92" s="7"/>
      <c r="R92" s="7">
        <f>MATCH(R87,$R$23:$R$82,0)</f>
        <v>9</v>
      </c>
      <c r="S92" s="7"/>
    </row>
    <row r="93" spans="16:19" ht="12.75" hidden="1">
      <c r="P93" s="215" t="s">
        <v>91</v>
      </c>
      <c r="Q93" s="7"/>
      <c r="R93" s="215" t="str">
        <f>INDEX($A$23:$A$82,$R$92)</f>
        <v>GRO.DEN</v>
      </c>
      <c r="S93" s="7"/>
    </row>
    <row r="94" ht="12.75">
      <c r="R94" s="253"/>
    </row>
  </sheetData>
  <sheetProtection/>
  <mergeCells count="11">
    <mergeCell ref="A8:C8"/>
    <mergeCell ref="I11:J11"/>
    <mergeCell ref="I12:J12"/>
    <mergeCell ref="I13:J13"/>
    <mergeCell ref="K22:O22"/>
    <mergeCell ref="X83:Y83"/>
    <mergeCell ref="N6:O6"/>
    <mergeCell ref="I14:J14"/>
    <mergeCell ref="I15:J15"/>
    <mergeCell ref="I17:J17"/>
    <mergeCell ref="I18:J18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2013-10-22T13:34:12Z</dcterms:created>
  <dcterms:modified xsi:type="dcterms:W3CDTF">2013-10-22T13:34:24Z</dcterms:modified>
  <cp:category/>
  <cp:version/>
  <cp:contentType/>
  <cp:contentStatus/>
</cp:coreProperties>
</file>