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uzon à Rivières"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'Auzon à Rivières'!$A$1:$O$82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'Auzon à Rivières'!$A$23:$J$84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<sst xmlns="http://schemas.openxmlformats.org/spreadsheetml/2006/main" count="7364" uniqueCount="2730">
  <si>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</si>
  <si>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</si>
  <si>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</si>
  <si>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</si>
  <si>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</si>
  <si>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</si>
  <si>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</si>
  <si>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</si>
  <si>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</si>
  <si>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</si>
  <si>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</si>
  <si>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</si>
  <si>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</si>
  <si>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</si>
  <si>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</si>
  <si>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</si>
  <si>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</si>
  <si>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</si>
  <si>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</si>
  <si>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</si>
  <si>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</si>
  <si>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</si>
  <si>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</si>
  <si>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</si>
  <si>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</si>
  <si>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</si>
  <si>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</si>
  <si>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</si>
  <si>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</si>
  <si>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</si>
  <si>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</si>
  <si>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</si>
  <si>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</si>
  <si>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</si>
  <si>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</si>
  <si>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</si>
  <si>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</si>
  <si>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</si>
  <si>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</si>
  <si>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</si>
  <si>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</si>
  <si>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</si>
  <si>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</si>
  <si>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</si>
  <si>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</si>
  <si>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</si>
  <si>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</si>
  <si>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</si>
  <si>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</si>
  <si>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</si>
  <si>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</si>
  <si>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</si>
  <si>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</si>
  <si>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</si>
  <si>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</si>
  <si>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</si>
  <si>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</si>
  <si>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</si>
  <si>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</si>
  <si>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</si>
  <si>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</si>
  <si>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</si>
  <si>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</si>
  <si>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</si>
  <si>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</si>
  <si>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</si>
  <si>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</si>
  <si>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</si>
  <si>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</si>
  <si>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</si>
  <si>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</si>
  <si>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</si>
  <si>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</si>
  <si>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</si>
  <si>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</si>
  <si>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</si>
  <si>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</si>
  <si>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</si>
  <si>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</si>
  <si>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</si>
  <si>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</si>
  <si>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</si>
  <si>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</si>
  <si>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</si>
  <si>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</si>
  <si>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</si>
  <si>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</si>
  <si>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</si>
  <si>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</si>
  <si>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</si>
  <si>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</si>
  <si>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</si>
  <si>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</si>
  <si>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</si>
  <si>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</si>
  <si>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</si>
  <si>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</si>
  <si>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</si>
  <si>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</si>
  <si>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</si>
  <si>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</si>
  <si>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</si>
  <si>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</si>
  <si>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</si>
  <si>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</si>
  <si>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</si>
  <si>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</si>
  <si>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</si>
  <si>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</si>
  <si>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</si>
  <si>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</si>
  <si>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</si>
  <si>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</si>
  <si>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</si>
  <si>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</si>
  <si>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</si>
  <si>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</si>
  <si>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</si>
  <si>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</si>
  <si>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</si>
  <si>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</si>
  <si>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</si>
  <si>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</si>
  <si>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</si>
  <si>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</si>
  <si>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</si>
  <si>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</si>
  <si>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</si>
  <si>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</si>
  <si>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</si>
  <si>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</si>
  <si>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</si>
  <si>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</si>
  <si>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</si>
  <si>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</si>
  <si>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</si>
  <si>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</si>
  <si>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</si>
  <si>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</si>
  <si>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</si>
  <si>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</si>
  <si>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</si>
  <si>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</si>
  <si>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</si>
  <si>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</si>
  <si>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</si>
  <si>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</si>
  <si>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</si>
  <si>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</si>
  <si>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</si>
  <si>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</si>
  <si>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</si>
  <si>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</si>
  <si>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</si>
  <si>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</si>
  <si>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</si>
  <si>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</si>
  <si>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</si>
  <si>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</si>
  <si>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</si>
  <si>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</si>
  <si>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</si>
  <si>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</si>
  <si>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</si>
  <si>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</si>
  <si>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</si>
  <si>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</si>
  <si>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</si>
  <si>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</si>
  <si>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</si>
  <si>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</si>
  <si>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</si>
  <si>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</si>
  <si>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</si>
  <si>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</si>
  <si>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</si>
  <si>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</si>
  <si>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</si>
  <si>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</si>
  <si>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</si>
  <si>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</si>
  <si>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</si>
  <si>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</si>
  <si>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</si>
  <si>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</si>
  <si>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</si>
  <si>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</si>
  <si>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</si>
  <si>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</si>
  <si>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</si>
  <si>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</si>
  <si>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</si>
  <si>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</si>
  <si>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</si>
  <si>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</si>
  <si>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</si>
  <si>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</si>
  <si>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</si>
  <si>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</si>
  <si>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</si>
  <si>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</si>
  <si>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</si>
  <si>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</si>
  <si>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</si>
  <si>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</si>
  <si>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</si>
  <si>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</si>
  <si>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</si>
  <si>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</si>
  <si>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</si>
  <si>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</si>
  <si>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</si>
  <si>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</si>
  <si>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</si>
  <si>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</si>
  <si>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</si>
  <si>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</si>
  <si>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</si>
  <si>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</si>
  <si>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</si>
  <si>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</si>
  <si>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</si>
  <si>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</si>
  <si>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</si>
  <si>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</si>
  <si>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</si>
  <si>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</si>
  <si>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</si>
  <si>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</si>
  <si>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</si>
  <si>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</si>
  <si>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</si>
  <si>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</si>
  <si>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</si>
  <si>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</si>
  <si>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</si>
  <si>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</si>
  <si>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</si>
  <si>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</si>
  <si>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</si>
  <si>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</si>
  <si>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</si>
  <si>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</si>
  <si>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</si>
  <si>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</si>
  <si>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</si>
  <si>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</si>
  <si>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</si>
  <si>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</si>
  <si>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</si>
  <si>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</si>
  <si>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</si>
  <si>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</si>
  <si>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</si>
  <si>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</si>
  <si>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</si>
  <si>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</si>
  <si>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</si>
  <si>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</si>
  <si>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</si>
  <si>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</si>
  <si>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</si>
  <si>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</si>
  <si>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</si>
  <si>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</si>
  <si>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</si>
  <si>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</si>
  <si>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</si>
  <si>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</si>
  <si>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</si>
  <si>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</si>
  <si>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</si>
  <si>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</si>
  <si>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</si>
  <si>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</si>
  <si>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</si>
  <si>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</si>
  <si>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</si>
  <si>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</si>
  <si>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</si>
  <si>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</si>
  <si>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</si>
  <si>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</si>
  <si>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</si>
  <si>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</si>
  <si>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</si>
  <si>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</si>
  <si>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</si>
  <si>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</si>
  <si>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</si>
  <si>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</si>
  <si>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</si>
  <si>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</si>
  <si>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</si>
  <si>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</si>
  <si>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</si>
  <si>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</si>
  <si>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</si>
  <si>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</si>
  <si>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</si>
  <si>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</si>
  <si>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</si>
  <si>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</si>
  <si>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</si>
  <si>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</si>
  <si>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</si>
  <si>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</si>
  <si>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</si>
  <si>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</si>
  <si>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</si>
  <si>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</si>
  <si>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</si>
  <si>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</si>
  <si>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</si>
  <si>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</si>
  <si>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</si>
  <si>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</si>
  <si>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</si>
  <si>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</si>
  <si>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</si>
  <si>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</si>
  <si>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</si>
  <si>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</si>
  <si>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</si>
  <si>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</si>
  <si>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</si>
  <si>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</si>
  <si>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</si>
  <si>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</si>
  <si>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</si>
  <si>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</si>
  <si>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</si>
  <si>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</si>
  <si>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</si>
  <si>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</si>
  <si>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</si>
  <si>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</si>
  <si>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</si>
  <si>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</si>
  <si>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</si>
  <si>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</si>
  <si>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</si>
  <si>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</si>
  <si>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</si>
  <si>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</si>
  <si>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</si>
  <si>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</si>
  <si>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</si>
  <si>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</si>
  <si>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</si>
  <si>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</si>
  <si>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</si>
  <si>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</si>
  <si>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</si>
  <si>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</si>
  <si>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</si>
  <si>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</si>
  <si>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</si>
  <si>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</si>
  <si>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</si>
  <si>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</si>
  <si>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</si>
  <si>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</si>
  <si>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</si>
  <si>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</si>
  <si>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</si>
  <si>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</si>
  <si>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</si>
  <si>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</si>
  <si>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</si>
  <si>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</si>
  <si>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</si>
  <si>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</si>
  <si>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</si>
  <si>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</si>
  <si>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</si>
  <si>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</si>
  <si>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</si>
  <si>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</si>
  <si>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</si>
  <si>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</si>
  <si>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</si>
  <si>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</si>
  <si>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</si>
  <si>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</si>
  <si>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</si>
  <si>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</si>
  <si>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</si>
  <si>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</si>
  <si>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</si>
  <si>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</si>
  <si>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</si>
  <si>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</si>
  <si>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</si>
  <si>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</si>
  <si>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</si>
  <si>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</si>
  <si>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</si>
  <si>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</si>
  <si>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</si>
  <si>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</si>
  <si>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</si>
  <si>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</si>
  <si>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</si>
  <si>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</si>
  <si>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</si>
  <si>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</si>
  <si>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</si>
  <si>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</si>
  <si>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</si>
  <si>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</si>
  <si>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</si>
  <si>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</si>
  <si>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</si>
  <si>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</si>
  <si>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</si>
  <si>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</si>
  <si>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</si>
  <si>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</si>
  <si>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</si>
  <si>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</si>
  <si>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</si>
  <si>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</si>
  <si>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</si>
  <si>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</si>
  <si>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</si>
  <si>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</si>
  <si>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</si>
  <si>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</si>
  <si>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</si>
  <si>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</si>
  <si>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</si>
  <si>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</si>
  <si>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</si>
  <si>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</si>
  <si>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</si>
  <si>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</si>
  <si>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</si>
  <si>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</si>
  <si>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</si>
  <si>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</si>
  <si>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</si>
  <si>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</si>
  <si>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</si>
  <si>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</si>
  <si>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</si>
  <si>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</si>
  <si>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</si>
  <si>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</si>
  <si>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</si>
  <si>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</si>
  <si>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</si>
  <si>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</si>
  <si>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</si>
  <si>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</si>
  <si>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</si>
  <si>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</si>
  <si>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</si>
  <si>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</si>
  <si>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</si>
  <si>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</si>
  <si>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</si>
  <si>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</si>
  <si>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</si>
  <si>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</si>
  <si>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</si>
  <si>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</si>
  <si>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</si>
  <si>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</si>
  <si>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</si>
  <si>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</si>
  <si>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</si>
  <si>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</si>
  <si>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</si>
  <si>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</si>
  <si>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</si>
  <si>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</si>
  <si>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</si>
  <si>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</si>
  <si>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</si>
  <si>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</si>
  <si>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</si>
  <si>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</si>
  <si>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</si>
  <si>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</si>
  <si>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</si>
  <si>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</si>
  <si>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</si>
  <si>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</si>
  <si>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</si>
  <si>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</si>
  <si>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</si>
  <si>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</si>
  <si>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</si>
  <si>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</si>
  <si>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</si>
  <si>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</si>
  <si>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</si>
  <si>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</si>
  <si>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</si>
  <si>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</si>
  <si>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</si>
  <si>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</si>
  <si>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</si>
  <si>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</si>
  <si>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</si>
  <si>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</si>
  <si>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</si>
  <si>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</si>
  <si>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</si>
  <si>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</si>
  <si>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</si>
  <si>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</si>
  <si>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</si>
  <si>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</si>
  <si>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</si>
  <si>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</si>
  <si>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</si>
  <si>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</si>
  <si>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</si>
  <si>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</si>
  <si>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</si>
  <si>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</si>
  <si>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</si>
  <si>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</si>
  <si>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</si>
  <si>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</si>
  <si>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</si>
  <si>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</si>
  <si>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</si>
  <si>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</si>
  <si>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</si>
  <si>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</si>
  <si>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</si>
  <si>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</si>
  <si>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</si>
  <si>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</si>
  <si>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</si>
  <si>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</si>
  <si>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</si>
  <si>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</si>
  <si>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</si>
  <si>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</si>
  <si>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</si>
  <si>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</si>
  <si>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</si>
  <si>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</si>
  <si>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</si>
  <si>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</si>
  <si>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</si>
  <si>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</si>
  <si>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</si>
  <si>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</si>
  <si>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</si>
  <si>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</si>
  <si>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</si>
  <si>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</si>
  <si>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</si>
  <si>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</si>
  <si>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</si>
  <si>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</si>
  <si>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</si>
  <si>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</si>
  <si>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</si>
  <si>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</si>
  <si>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</si>
  <si>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</si>
  <si>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</si>
  <si>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</si>
  <si>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</si>
  <si>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</si>
  <si>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</si>
  <si>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</si>
  <si>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</si>
  <si>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</si>
  <si>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</si>
  <si>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</si>
  <si>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</si>
  <si>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</si>
  <si>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</si>
  <si>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</si>
  <si>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</si>
  <si>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</si>
  <si>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</si>
  <si>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</si>
  <si>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</si>
  <si>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</si>
  <si>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</si>
  <si>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</si>
  <si>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</si>
  <si>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</si>
  <si>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</si>
  <si>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</si>
  <si>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</si>
  <si>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</si>
  <si>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</si>
  <si>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</si>
  <si>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</si>
  <si>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</si>
  <si>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</si>
  <si>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</si>
  <si>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</si>
  <si>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</si>
  <si>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</si>
  <si>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</si>
  <si>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</si>
  <si>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</si>
  <si>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</si>
  <si>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</si>
  <si>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</si>
  <si>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</si>
  <si>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</si>
  <si>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</si>
  <si>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</si>
  <si>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</si>
  <si>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</si>
  <si>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</si>
  <si>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</si>
  <si>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</si>
  <si>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</si>
  <si>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</si>
  <si>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</si>
  <si>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</si>
  <si>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</si>
  <si>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</si>
  <si>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</si>
  <si>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</si>
  <si>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</si>
  <si>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</si>
  <si>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</si>
  <si>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</si>
  <si>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</si>
  <si>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</si>
  <si>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</si>
  <si>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</si>
  <si>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</si>
  <si>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</si>
  <si>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</si>
  <si>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</si>
  <si>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</si>
  <si>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</si>
  <si>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</si>
  <si>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</si>
  <si>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</si>
  <si>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</si>
  <si>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</si>
  <si>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</si>
  <si>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</si>
  <si>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</si>
  <si>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</si>
  <si>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</si>
  <si>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</si>
  <si>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</si>
  <si>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</si>
  <si>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</si>
  <si>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</si>
  <si>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</si>
  <si>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</si>
  <si>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</si>
  <si>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</si>
  <si>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</si>
  <si>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</si>
  <si>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</si>
  <si>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</si>
  <si>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</si>
  <si>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</si>
  <si>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</si>
  <si>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</si>
  <si>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</si>
  <si>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</si>
  <si>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</si>
  <si>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</si>
  <si>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</si>
  <si>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</si>
  <si>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</si>
  <si>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</si>
  <si>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</si>
  <si>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</si>
  <si>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</si>
  <si>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</si>
  <si>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</si>
  <si>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</si>
  <si>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</si>
  <si>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</si>
  <si>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</si>
  <si>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</si>
  <si>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</si>
  <si>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</si>
  <si>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</si>
  <si>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</si>
  <si>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</si>
  <si>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</si>
  <si>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</si>
  <si>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</si>
  <si>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</si>
  <si>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</si>
  <si>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</si>
  <si>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</si>
  <si>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</si>
  <si>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</si>
  <si>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</si>
  <si>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</si>
  <si>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</si>
  <si>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</si>
  <si>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</si>
  <si>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</si>
  <si>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</si>
  <si>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</si>
  <si>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</si>
  <si>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</si>
  <si>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</si>
  <si>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</si>
  <si>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</si>
  <si>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</si>
  <si>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</si>
  <si>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</si>
  <si>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</si>
  <si>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</si>
  <si>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</si>
  <si>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</si>
  <si>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</si>
  <si>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</si>
  <si>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</si>
  <si>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</si>
  <si>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</si>
  <si>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</si>
  <si>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</si>
  <si>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</si>
  <si>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</si>
  <si>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</si>
  <si>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</si>
  <si>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</si>
  <si>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</si>
  <si>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</si>
  <si>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</si>
  <si>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</si>
  <si>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</si>
  <si>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</si>
  <si>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</si>
  <si>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</si>
  <si>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</si>
  <si>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</si>
  <si>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</si>
  <si>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</si>
  <si>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</si>
  <si>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</si>
  <si>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</si>
  <si>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</si>
  <si>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</si>
  <si>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</si>
  <si>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</si>
  <si>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</si>
  <si>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</si>
  <si>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</si>
  <si>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</si>
  <si>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</si>
  <si>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</si>
  <si>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</si>
  <si>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</si>
  <si>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</si>
  <si>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</si>
  <si>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</si>
  <si>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</si>
  <si>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</si>
  <si>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</si>
  <si>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</si>
  <si>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</si>
  <si>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</si>
  <si>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</si>
  <si>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</si>
  <si>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</si>
  <si>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</si>
  <si>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</si>
  <si>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</si>
  <si>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</si>
  <si>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</si>
  <si>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</si>
  <si>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</si>
  <si>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</si>
  <si>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</si>
  <si>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</si>
  <si>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</si>
  <si>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</si>
  <si>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</si>
  <si>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</si>
  <si>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</si>
  <si>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</si>
  <si>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</si>
  <si>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</si>
  <si>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</si>
  <si>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</si>
  <si>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</si>
  <si>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</si>
  <si>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</si>
  <si>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</si>
  <si>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</si>
  <si>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</si>
  <si>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</si>
  <si>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</si>
  <si>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</si>
  <si>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</si>
  <si>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</si>
  <si>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</si>
  <si>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</si>
  <si>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</si>
  <si>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</si>
  <si>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</si>
  <si>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</si>
  <si>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</si>
  <si>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</si>
  <si>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</si>
  <si>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</si>
  <si>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</si>
  <si>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</si>
  <si>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</si>
  <si>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</si>
  <si>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</si>
  <si>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</si>
  <si>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</si>
  <si>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</si>
  <si>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</si>
  <si>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</si>
  <si>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</si>
  <si>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</si>
  <si>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</si>
  <si>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</si>
  <si>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</si>
  <si>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</si>
  <si>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</si>
  <si>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</si>
  <si>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</si>
  <si>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</si>
  <si>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</si>
  <si>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</si>
  <si>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</si>
  <si>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</si>
  <si>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</si>
  <si>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</si>
  <si>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</si>
  <si>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</si>
  <si>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</si>
  <si>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</si>
  <si>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</si>
  <si>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</si>
  <si>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</si>
  <si>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</si>
  <si>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</si>
  <si>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</si>
  <si>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</si>
  <si>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</si>
  <si>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</si>
  <si>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</si>
  <si>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</si>
  <si>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</si>
  <si>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</si>
  <si>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</si>
  <si>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</si>
  <si>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</si>
  <si>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</si>
  <si>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</si>
  <si>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</si>
  <si>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</si>
  <si>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</si>
  <si>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</si>
  <si>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</si>
  <si>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</si>
  <si>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</si>
  <si>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</si>
  <si>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</si>
  <si>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</si>
  <si>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</si>
  <si>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</si>
  <si>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</si>
  <si>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</si>
  <si>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</si>
  <si>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</si>
  <si>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</si>
  <si>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</si>
  <si>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</si>
  <si>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</si>
  <si>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</si>
  <si>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</si>
  <si>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</si>
  <si>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</si>
  <si>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</si>
  <si>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</si>
  <si>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</si>
  <si>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</si>
  <si>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</si>
  <si>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</si>
  <si>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</si>
  <si>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</si>
  <si>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</si>
  <si>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</si>
  <si>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</si>
  <si>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</si>
  <si>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</si>
  <si>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</si>
  <si>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</si>
  <si>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</si>
  <si>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</si>
  <si>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</si>
  <si>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</si>
  <si>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</si>
  <si>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</si>
  <si>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</si>
  <si>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</si>
  <si>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</si>
  <si>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</si>
  <si>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</si>
  <si>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</si>
  <si>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</si>
  <si>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</si>
  <si>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</si>
  <si>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</si>
  <si>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</si>
  <si>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</si>
  <si>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</si>
  <si>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</si>
  <si>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</si>
  <si>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</si>
  <si>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</si>
  <si>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</si>
  <si>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</si>
  <si>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</si>
  <si>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</si>
  <si>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</si>
  <si>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</si>
  <si>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</si>
  <si>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</si>
  <si>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</si>
  <si>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</si>
  <si>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</si>
  <si>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</si>
  <si>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</si>
  <si>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</si>
  <si>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</si>
  <si>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</si>
  <si>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</si>
  <si>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</si>
  <si>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</si>
  <si>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</si>
  <si>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</si>
  <si>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</si>
  <si>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</si>
  <si>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</si>
  <si>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</si>
  <si>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</si>
  <si>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</si>
  <si>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</si>
  <si>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</si>
  <si>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</si>
  <si>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</si>
  <si>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</si>
  <si>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</si>
  <si>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</si>
  <si>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</si>
  <si>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</si>
  <si>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</si>
  <si>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</si>
  <si>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</si>
  <si>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</si>
  <si>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</si>
  <si>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</si>
  <si>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</si>
  <si>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</si>
  <si>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</si>
  <si>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</si>
  <si>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</si>
  <si>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</si>
  <si>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</si>
  <si>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</si>
  <si>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</si>
  <si>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</si>
  <si>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</si>
  <si>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</si>
  <si>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</si>
  <si>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</si>
  <si>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</si>
  <si>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</si>
  <si>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</si>
  <si>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</si>
  <si>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</si>
  <si>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</si>
  <si>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</si>
  <si>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</si>
  <si>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</si>
  <si>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</si>
  <si>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</si>
  <si>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</si>
  <si>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</si>
  <si>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</si>
  <si>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</si>
  <si>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</si>
  <si>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</si>
  <si>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</si>
  <si>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</si>
  <si>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</si>
  <si>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</si>
  <si>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</si>
  <si>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</si>
  <si>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</si>
  <si>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</si>
  <si>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</si>
  <si>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</si>
  <si>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</si>
  <si>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</si>
  <si>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</si>
  <si>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</si>
  <si>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</si>
  <si>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</si>
  <si>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</si>
  <si>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</si>
  <si>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</si>
  <si>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</si>
  <si>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</si>
  <si>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</si>
  <si>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</si>
  <si>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</si>
  <si>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</si>
  <si>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</si>
  <si>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</si>
  <si>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</si>
  <si>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</si>
  <si>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</si>
  <si>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</si>
  <si>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</si>
  <si>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</si>
  <si>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</si>
  <si>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</si>
  <si>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</si>
  <si>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</si>
  <si>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</si>
  <si>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</si>
  <si>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</si>
  <si>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</si>
  <si>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</si>
  <si>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</si>
  <si>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</si>
  <si>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</si>
  <si>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</si>
  <si>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</si>
  <si>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</si>
  <si>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</si>
  <si>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</si>
  <si>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</si>
  <si>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</si>
  <si>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</si>
  <si>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</si>
  <si>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</si>
  <si>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</si>
  <si>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</si>
  <si>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</si>
  <si>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</si>
  <si>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</si>
  <si>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</si>
  <si>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</si>
  <si>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</si>
  <si>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</si>
  <si>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</si>
  <si>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</si>
  <si>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</si>
  <si>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</si>
  <si>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</si>
  <si>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</si>
  <si>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</si>
  <si>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</si>
  <si>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</si>
  <si>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</si>
  <si>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</si>
  <si>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</si>
  <si>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</si>
  <si>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</si>
  <si>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</si>
  <si>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</si>
  <si>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</si>
  <si>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</si>
  <si>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</si>
  <si>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</si>
  <si>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</si>
  <si>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</si>
  <si>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</si>
  <si>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</si>
  <si>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</si>
  <si>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</si>
  <si>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</si>
  <si>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</si>
  <si>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</si>
  <si>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</si>
  <si>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</si>
  <si>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</si>
  <si>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</si>
  <si>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</si>
  <si>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</si>
  <si>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</si>
  <si>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</si>
  <si>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</si>
  <si>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</si>
  <si>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</si>
  <si>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</si>
  <si>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</si>
  <si>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</si>
  <si>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</si>
  <si>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</si>
  <si>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</si>
  <si>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</si>
  <si>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</si>
  <si>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</si>
  <si>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</si>
  <si>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</si>
  <si>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</si>
  <si>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</si>
  <si>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</si>
  <si>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</si>
  <si>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</si>
  <si>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</si>
  <si>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</si>
  <si>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</si>
  <si>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</si>
  <si>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</si>
  <si>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</si>
  <si>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</si>
  <si>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</si>
  <si>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</si>
  <si>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</si>
  <si>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</si>
  <si>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</si>
  <si>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</si>
  <si>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</si>
  <si>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</si>
  <si>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</si>
  <si>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</si>
  <si>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</si>
  <si>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</si>
  <si>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</si>
  <si>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</si>
  <si>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</si>
  <si>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</si>
  <si>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</si>
  <si>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</si>
  <si>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</si>
  <si>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</si>
  <si>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</si>
  <si>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</si>
  <si>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</si>
  <si>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</si>
  <si>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</si>
  <si>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</si>
  <si>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</si>
  <si>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</si>
  <si>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</si>
  <si>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</si>
  <si>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</si>
  <si>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</si>
  <si>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</si>
  <si>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</si>
  <si>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</si>
  <si>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</si>
  <si>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</si>
  <si>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</si>
  <si>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</si>
  <si>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</si>
  <si>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</si>
  <si>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</si>
  <si>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</si>
  <si>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</si>
  <si>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</si>
  <si>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</si>
  <si>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</si>
  <si>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</si>
  <si>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</si>
  <si>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</si>
  <si>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</si>
  <si>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</si>
  <si>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</si>
  <si>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</si>
  <si>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</si>
  <si>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</si>
  <si>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</si>
  <si>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</si>
  <si>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</si>
  <si>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</si>
  <si>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</si>
  <si>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</si>
  <si>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</si>
  <si>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</si>
  <si>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</si>
  <si>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</si>
  <si>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</si>
  <si>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</si>
  <si>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</si>
  <si>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</si>
  <si>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</si>
  <si>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</si>
  <si>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</si>
  <si>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</si>
  <si>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</si>
  <si>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</si>
  <si>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</si>
  <si>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</si>
  <si>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</si>
  <si>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</si>
  <si>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</si>
  <si>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</si>
  <si>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</si>
  <si>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</si>
  <si>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</si>
  <si>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</si>
  <si>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</si>
  <si>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</si>
  <si>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</si>
  <si>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</si>
  <si>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</si>
  <si>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</si>
  <si>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</si>
  <si>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</si>
  <si>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</si>
  <si>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</si>
  <si>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</si>
  <si>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</si>
  <si>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</si>
  <si>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</si>
  <si>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</si>
  <si>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</si>
  <si>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</si>
  <si>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</si>
  <si>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</si>
  <si>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</si>
  <si>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</si>
  <si>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</si>
  <si>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</si>
  <si>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</si>
  <si>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</si>
  <si>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</si>
  <si>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</si>
  <si>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</si>
  <si>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</si>
  <si>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</si>
  <si>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</si>
  <si>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</si>
  <si>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</si>
  <si>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</si>
  <si>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</si>
  <si>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</si>
  <si>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</si>
  <si>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</si>
  <si>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</si>
  <si>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</si>
  <si>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</si>
  <si>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</si>
  <si>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</si>
  <si>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</si>
  <si>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</si>
  <si>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</si>
  <si>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</si>
  <si>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</si>
  <si>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</si>
  <si>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</si>
  <si>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</si>
  <si>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</si>
  <si>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</si>
  <si>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</si>
  <si>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</si>
  <si>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</si>
  <si>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</si>
  <si>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</si>
  <si>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</si>
  <si>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</si>
  <si>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</si>
  <si>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</si>
  <si>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</si>
  <si>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</si>
  <si>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</si>
  <si>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</si>
  <si>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</si>
  <si>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</si>
  <si>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</si>
  <si>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</si>
  <si>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</si>
  <si>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</si>
  <si>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</si>
  <si>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</si>
  <si>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</si>
  <si>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</si>
  <si>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</si>
  <si>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</si>
  <si>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</si>
  <si>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</si>
  <si>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</si>
  <si>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</si>
  <si>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</si>
  <si>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</si>
  <si>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</si>
  <si>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</si>
  <si>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</si>
  <si>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</si>
  <si>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</si>
  <si>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</si>
  <si>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</si>
  <si>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</si>
  <si>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</si>
  <si>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</si>
  <si>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</si>
  <si>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</si>
  <si>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</si>
  <si>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</si>
  <si>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</si>
  <si>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</si>
  <si>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</si>
  <si>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</si>
  <si>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</si>
  <si>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</si>
  <si>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</si>
  <si>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</si>
  <si>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</si>
  <si>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</si>
  <si>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</si>
  <si>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</si>
  <si>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</si>
  <si>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</si>
  <si>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</si>
  <si>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</si>
  <si>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</si>
  <si>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</si>
  <si>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</si>
  <si>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</si>
  <si>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</si>
  <si>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</si>
  <si>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</si>
  <si>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</si>
  <si>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</si>
  <si>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</si>
  <si>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</si>
  <si>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</si>
  <si>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</si>
  <si>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</si>
  <si>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</si>
  <si>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</si>
  <si>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</si>
  <si>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</si>
  <si>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</si>
  <si>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</si>
  <si>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</si>
  <si>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</si>
  <si>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</si>
  <si>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</si>
  <si>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</si>
  <si>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</si>
  <si>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</si>
  <si>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</si>
  <si>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</si>
  <si>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</si>
  <si>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</si>
  <si>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</si>
  <si>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</si>
  <si>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</si>
  <si>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</si>
  <si>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</si>
  <si>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</si>
  <si>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</si>
  <si>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</si>
  <si>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</si>
  <si>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</si>
  <si>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</si>
  <si>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</si>
  <si>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</si>
  <si>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</si>
  <si>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</si>
  <si>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</si>
  <si>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</si>
  <si>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</si>
  <si>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</si>
  <si>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</si>
  <si>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</si>
  <si>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</si>
  <si>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</si>
  <si>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</si>
  <si>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</si>
  <si>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</si>
  <si>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</si>
  <si>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</si>
  <si>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</si>
  <si>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</si>
  <si>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</si>
  <si>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</si>
  <si>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</si>
  <si>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</si>
  <si>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</si>
  <si>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</si>
  <si>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</si>
  <si>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</si>
  <si>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</si>
  <si>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</si>
  <si>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</si>
  <si>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</si>
  <si>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</si>
  <si>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</si>
  <si>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</si>
  <si>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</si>
  <si>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</si>
  <si>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</si>
  <si>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</si>
  <si>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</si>
  <si>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</si>
  <si>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</si>
  <si>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</si>
  <si>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</si>
  <si>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</si>
  <si>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</si>
  <si>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</si>
  <si>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</si>
  <si>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</si>
  <si>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</si>
  <si>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</si>
  <si>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</si>
  <si>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</si>
  <si>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</si>
  <si>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</si>
  <si>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</si>
  <si>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</si>
  <si>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</si>
  <si>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</si>
  <si>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</si>
  <si>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</si>
  <si>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</si>
  <si>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</si>
  <si>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</si>
  <si>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</si>
  <si>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</si>
  <si>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</si>
  <si>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</si>
  <si>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</si>
  <si>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</si>
  <si>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</si>
  <si>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</si>
  <si>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</si>
  <si>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</si>
  <si>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</si>
  <si>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</si>
  <si>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</si>
  <si>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</si>
  <si>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</si>
  <si>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</si>
  <si>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</si>
  <si>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</si>
  <si>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</si>
  <si>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</si>
  <si>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</si>
  <si>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</si>
  <si>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</si>
  <si>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</si>
  <si>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</si>
  <si>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</si>
  <si>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</si>
  <si>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</si>
  <si>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</si>
  <si>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</si>
  <si>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</si>
  <si>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</si>
  <si>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</si>
  <si>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</si>
  <si>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</si>
  <si>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</si>
  <si>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</si>
  <si>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</si>
  <si>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</si>
  <si>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</si>
  <si>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</si>
  <si>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</si>
  <si>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</si>
  <si>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</si>
  <si>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</si>
  <si>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</si>
  <si>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</si>
  <si>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</si>
  <si>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</si>
  <si>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</si>
  <si>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</si>
  <si>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</si>
  <si>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</si>
  <si>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</si>
  <si>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</si>
  <si>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</si>
  <si>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</si>
  <si>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</si>
  <si>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</si>
  <si>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</si>
  <si>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</si>
  <si>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</si>
  <si>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</si>
  <si>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</si>
  <si>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</si>
  <si>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</si>
  <si>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</si>
  <si>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</si>
  <si>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</si>
  <si>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</si>
  <si>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</si>
  <si>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</si>
  <si>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</si>
  <si>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</si>
  <si>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</si>
  <si>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</si>
  <si>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</si>
  <si>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</si>
  <si>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</si>
  <si>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</si>
  <si>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</si>
  <si>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</si>
  <si>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</si>
  <si>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</si>
  <si>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</si>
  <si>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</si>
  <si>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</si>
  <si>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</si>
  <si>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</si>
  <si>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</si>
  <si>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</si>
  <si>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</si>
  <si>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</si>
  <si>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</si>
  <si>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</si>
  <si>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</si>
  <si>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</si>
  <si>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</si>
  <si>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</si>
  <si>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</si>
  <si>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</si>
  <si>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</si>
  <si>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</si>
  <si>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</si>
  <si>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</si>
  <si>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</si>
  <si>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</si>
  <si>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</si>
  <si>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</si>
  <si>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</si>
  <si>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</si>
  <si>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</si>
  <si>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</si>
  <si>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</si>
  <si>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</si>
  <si>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</si>
  <si>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</si>
  <si>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</si>
  <si>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</si>
  <si>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</si>
  <si>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</si>
  <si>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</si>
  <si>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</si>
  <si>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</si>
  <si>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</si>
  <si>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</si>
  <si>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</si>
  <si>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</si>
  <si>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</si>
  <si>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</si>
  <si>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</si>
  <si>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</si>
  <si>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</si>
  <si>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</si>
  <si>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</si>
  <si>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</si>
  <si>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</si>
  <si>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</si>
  <si>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</si>
  <si>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</si>
  <si>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</si>
  <si>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</si>
  <si>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</si>
  <si>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</si>
  <si>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</si>
  <si>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</si>
  <si>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</si>
  <si>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</si>
  <si>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</si>
  <si>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</si>
  <si>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</si>
  <si>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</si>
  <si>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</si>
  <si>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</si>
  <si>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</si>
  <si>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</si>
  <si>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</si>
  <si>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</si>
  <si>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</si>
  <si>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</si>
  <si>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</si>
  <si>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</si>
  <si>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</si>
  <si>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</si>
  <si>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</si>
  <si>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</si>
  <si>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</si>
  <si>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</si>
  <si>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</si>
  <si>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</si>
  <si>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</si>
  <si>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</si>
  <si>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</si>
  <si>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</si>
  <si>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</si>
  <si>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</si>
  <si>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</si>
  <si>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</si>
  <si>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</si>
  <si>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</si>
  <si>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</si>
  <si>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</si>
  <si>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</si>
  <si>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</si>
  <si>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</si>
  <si>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</si>
  <si>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</si>
  <si>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</si>
  <si>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</si>
  <si>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</si>
  <si>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</si>
  <si>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</si>
  <si>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</si>
  <si>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</si>
  <si>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</si>
  <si>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</si>
  <si>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</si>
  <si>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</si>
  <si>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</si>
  <si>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</si>
  <si>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</si>
  <si>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</si>
  <si>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</si>
  <si>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</si>
  <si>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</si>
  <si>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</si>
  <si>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</si>
  <si>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</si>
  <si>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</si>
  <si>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</si>
  <si>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</si>
  <si>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</si>
  <si>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</si>
  <si>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</si>
  <si>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</si>
  <si>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</si>
  <si>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</si>
  <si>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</si>
  <si>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</si>
  <si>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</si>
  <si>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</si>
  <si>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</si>
  <si>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</si>
  <si>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</si>
  <si>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</si>
  <si>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</si>
  <si>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</si>
  <si>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</si>
  <si>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</si>
  <si>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</si>
  <si>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</si>
  <si>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</si>
  <si>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</si>
  <si>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</si>
  <si>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</si>
  <si>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</si>
  <si>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</si>
  <si>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</si>
  <si>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</si>
  <si>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</si>
  <si>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</si>
  <si>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</si>
  <si>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</si>
  <si>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</si>
  <si>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</si>
  <si>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</si>
  <si>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</si>
  <si>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</si>
  <si>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</si>
  <si>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</si>
  <si>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</si>
  <si>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</si>
  <si>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</si>
  <si>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</si>
  <si>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</si>
  <si>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</si>
  <si>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</si>
  <si>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</si>
  <si>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</si>
  <si>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</si>
  <si>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</si>
  <si>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</si>
  <si>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</si>
  <si>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</si>
  <si>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</si>
  <si>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</si>
  <si>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</si>
  <si>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</si>
  <si>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</si>
  <si>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</si>
  <si>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</si>
  <si>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</si>
  <si>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</si>
  <si>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</si>
  <si>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</si>
  <si>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</si>
  <si>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</si>
  <si>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</si>
  <si>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</si>
  <si>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</si>
  <si>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</si>
  <si>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</si>
  <si>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</si>
  <si>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</si>
  <si>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</si>
  <si>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</si>
  <si>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</si>
  <si>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</si>
  <si>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</si>
  <si>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</si>
  <si>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</si>
  <si>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</si>
  <si>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</si>
  <si>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</si>
  <si>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</si>
  <si>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</si>
  <si>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</si>
  <si>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</si>
  <si>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</si>
  <si>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</si>
  <si>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</si>
  <si>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</si>
  <si>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</si>
  <si>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</si>
  <si>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</si>
  <si>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</si>
  <si>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</si>
  <si>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</si>
  <si>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</si>
  <si>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</si>
  <si>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</si>
  <si>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</si>
  <si>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</si>
  <si>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</si>
  <si>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</si>
  <si>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</si>
  <si>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</si>
  <si>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</si>
  <si>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</si>
  <si>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</si>
  <si>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</si>
  <si>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</si>
  <si>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</si>
  <si>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</si>
  <si>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</si>
  <si>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</si>
  <si>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</si>
  <si>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</si>
  <si>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</si>
  <si>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</si>
  <si>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</si>
  <si>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</si>
  <si>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</si>
  <si>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</si>
  <si>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</si>
  <si>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</si>
  <si>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</si>
  <si>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</si>
  <si>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</si>
  <si>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</si>
  <si>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</si>
  <si>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</si>
  <si>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</si>
  <si>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</si>
  <si>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</si>
  <si>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</si>
  <si>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</si>
  <si>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</si>
  <si>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</si>
  <si>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</si>
  <si>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</si>
  <si>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</si>
  <si>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</si>
  <si>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</si>
  <si>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</si>
  <si>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</si>
  <si>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</si>
  <si>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</si>
  <si>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</si>
  <si>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</si>
  <si>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</si>
  <si>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</si>
  <si>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</si>
  <si>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</si>
  <si>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</si>
  <si>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</si>
  <si>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</si>
  <si>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</si>
  <si>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</si>
  <si>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</si>
  <si>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</si>
  <si>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</si>
  <si>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</si>
  <si>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</si>
  <si>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</si>
  <si>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</si>
  <si>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</si>
  <si>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</si>
  <si>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</si>
  <si>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</si>
  <si>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</si>
  <si>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</si>
  <si>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</si>
  <si>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</si>
  <si>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</si>
  <si>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</si>
  <si>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</si>
  <si>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</si>
  <si>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</si>
  <si>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</si>
  <si>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</si>
  <si>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</si>
  <si>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</si>
  <si>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</si>
  <si>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</si>
  <si>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</si>
  <si>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</si>
  <si>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</si>
  <si>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</si>
  <si>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</si>
  <si>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</si>
  <si>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</si>
  <si>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</si>
  <si>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</si>
  <si>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</si>
  <si>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</si>
  <si>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</si>
  <si>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</si>
  <si>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</si>
  <si>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</si>
  <si>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</si>
  <si>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</si>
  <si>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</si>
  <si>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</si>
  <si>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</si>
  <si>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</si>
  <si>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</si>
  <si>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</si>
  <si>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</si>
  <si>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</si>
  <si>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</si>
  <si>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</si>
  <si>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</si>
  <si>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</si>
  <si>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</si>
  <si>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</si>
  <si>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</si>
  <si>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</si>
  <si>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</si>
  <si>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</si>
  <si>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</si>
  <si>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</si>
  <si>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</si>
  <si>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</si>
  <si>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</si>
  <si>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</si>
  <si>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</si>
  <si>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</si>
  <si>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</si>
  <si>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</si>
  <si>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</si>
  <si>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</si>
  <si>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</si>
  <si>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</si>
  <si>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</si>
  <si>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</si>
  <si>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</si>
  <si>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</si>
  <si>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</si>
  <si>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</si>
  <si>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</si>
  <si>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</si>
  <si>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</si>
  <si>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</si>
  <si>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</si>
  <si>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</si>
  <si>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</si>
  <si>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</si>
  <si>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</si>
  <si>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</si>
  <si>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</si>
  <si>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</si>
  <si>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</si>
  <si>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</si>
  <si>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</si>
  <si>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</si>
  <si>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</si>
  <si>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</si>
  <si>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</si>
  <si>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</si>
  <si>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</si>
  <si>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</si>
  <si>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</si>
  <si>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</si>
  <si>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</si>
  <si>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</si>
  <si>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</si>
  <si>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</si>
  <si>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</si>
  <si>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</si>
  <si>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</si>
  <si>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</si>
  <si>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</si>
  <si>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</si>
  <si>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</si>
  <si>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</si>
  <si>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</si>
  <si>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</si>
  <si>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</si>
  <si>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</si>
  <si>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</si>
  <si>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</si>
  <si>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</si>
  <si>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</si>
  <si>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</si>
  <si>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</si>
  <si>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</si>
  <si>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</si>
  <si>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</si>
  <si>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</si>
  <si>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</si>
  <si>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</si>
  <si>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</si>
  <si>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</si>
  <si>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</si>
  <si>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</si>
  <si>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</si>
  <si>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</si>
  <si>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</si>
  <si>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</si>
  <si>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</si>
  <si>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</si>
  <si>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</si>
  <si>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</si>
  <si>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</si>
  <si>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</si>
  <si>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</si>
  <si>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</si>
  <si>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</si>
  <si>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</si>
  <si>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</si>
  <si>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</si>
  <si>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</si>
  <si>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</si>
  <si>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</si>
  <si>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</si>
  <si>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</si>
  <si>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</si>
  <si>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</si>
  <si>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</si>
  <si>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</si>
  <si>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</si>
  <si>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</si>
  <si>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</si>
  <si>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</si>
  <si>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</si>
  <si>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</si>
  <si>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</si>
  <si>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</si>
  <si>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</si>
  <si>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</si>
  <si>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</si>
  <si>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</si>
  <si>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</si>
  <si>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</si>
  <si>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</si>
  <si>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</si>
  <si>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</si>
  <si>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</si>
  <si>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</si>
  <si>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</si>
  <si>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</si>
  <si>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</si>
  <si>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</si>
  <si>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</si>
  <si>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</si>
  <si>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</si>
  <si>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</si>
  <si>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</si>
  <si>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</si>
  <si>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</si>
  <si>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</si>
  <si>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</si>
  <si>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</si>
  <si>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</si>
  <si>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</si>
  <si>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</si>
  <si>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</si>
  <si>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</si>
  <si>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</si>
  <si>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</si>
  <si>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</si>
  <si>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</si>
  <si>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</si>
  <si>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</si>
  <si>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</si>
  <si>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</si>
  <si>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</si>
  <si>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</si>
  <si>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</si>
  <si>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</si>
  <si>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</si>
  <si>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</si>
  <si>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</si>
  <si>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</si>
  <si>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</si>
  <si>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</si>
  <si>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</si>
  <si>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</si>
  <si>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</si>
  <si>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</si>
  <si>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</si>
  <si>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</si>
  <si>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</si>
  <si>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</si>
  <si>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</si>
  <si>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</si>
  <si>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</si>
  <si>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</si>
  <si>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</si>
  <si>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</si>
  <si>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</si>
  <si>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</si>
  <si>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</si>
  <si>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</si>
  <si>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</si>
  <si>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</si>
  <si>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</si>
  <si>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</si>
  <si>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</si>
  <si>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</si>
  <si>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</si>
  <si>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</si>
  <si>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</si>
  <si>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</si>
  <si>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</si>
  <si>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</si>
  <si>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</si>
  <si>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</si>
  <si>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</si>
  <si>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</si>
  <si>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</si>
  <si>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</si>
  <si>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</si>
  <si>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</si>
  <si>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</si>
  <si>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</si>
  <si>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</si>
  <si>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</si>
  <si>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</si>
  <si>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</si>
  <si>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</si>
  <si>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</si>
  <si>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</si>
  <si>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</si>
  <si>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</si>
  <si>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</si>
  <si>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</si>
  <si>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</si>
  <si>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</si>
  <si>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</si>
  <si>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</si>
  <si>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</si>
  <si>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</si>
  <si>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</si>
  <si>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</si>
  <si>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</si>
  <si>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</si>
  <si>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</si>
  <si>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</si>
  <si>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</si>
  <si>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</si>
  <si>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</si>
  <si>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</si>
  <si>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</si>
  <si>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</si>
  <si>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</si>
  <si>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</si>
  <si>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</si>
  <si>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</si>
  <si>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</si>
  <si>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</si>
  <si>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</si>
  <si>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</si>
  <si>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</si>
  <si>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</si>
  <si>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</si>
  <si>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</si>
  <si>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</si>
  <si>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</si>
  <si>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</si>
  <si>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</si>
  <si>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</si>
  <si>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</si>
  <si>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</si>
  <si>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</si>
  <si>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</si>
  <si>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</si>
  <si>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</si>
  <si>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</si>
  <si>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</si>
  <si>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</si>
  <si>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</si>
  <si>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</si>
  <si>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</si>
  <si>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</si>
  <si>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</si>
  <si>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</si>
  <si>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</si>
  <si>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</si>
  <si>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</si>
  <si>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</si>
  <si>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</si>
  <si>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</si>
  <si>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</si>
  <si>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</si>
  <si>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</si>
  <si>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</si>
  <si>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</si>
  <si>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</si>
  <si>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</si>
  <si>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</si>
  <si>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</si>
  <si>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</si>
  <si>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</si>
  <si>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</si>
  <si>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</si>
  <si>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</si>
  <si>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</si>
  <si>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</si>
  <si>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</si>
  <si>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</si>
  <si>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</si>
  <si>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</si>
  <si>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</si>
  <si>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</si>
  <si>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</si>
  <si>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</si>
  <si>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</si>
  <si>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</si>
  <si>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</si>
  <si>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</si>
  <si>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</si>
  <si>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</si>
  <si>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</si>
  <si>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</si>
  <si>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</si>
  <si>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</si>
  <si>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</si>
  <si>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</si>
  <si>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</si>
  <si>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</si>
  <si>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</si>
  <si>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</si>
  <si>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</si>
  <si>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</si>
  <si>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</si>
  <si>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</si>
  <si>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</si>
  <si>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</si>
  <si>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</si>
  <si>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</si>
  <si>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</si>
  <si>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</si>
  <si>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</si>
  <si>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</si>
  <si>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</si>
  <si>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</si>
  <si>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</si>
  <si>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</si>
  <si>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</si>
  <si>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</si>
  <si>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</si>
  <si>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</si>
  <si>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</si>
  <si>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</si>
  <si>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</si>
  <si>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</si>
  <si>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</si>
  <si>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</si>
  <si>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</si>
  <si>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</si>
  <si>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</si>
  <si>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</si>
  <si>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</si>
  <si>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</si>
  <si>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</si>
  <si>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</si>
  <si>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</si>
  <si>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</si>
  <si>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</si>
  <si>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</si>
  <si>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</si>
  <si>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</si>
  <si>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</si>
  <si>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</si>
  <si>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</si>
  <si>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</si>
  <si>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</si>
  <si>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</si>
  <si>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</si>
  <si>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</si>
  <si>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</si>
  <si>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</si>
  <si>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</si>
  <si>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</si>
  <si>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</si>
  <si>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</si>
  <si>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</si>
  <si>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</si>
  <si>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</si>
  <si>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</si>
  <si>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</si>
  <si>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</si>
  <si>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</si>
  <si>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</si>
  <si>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</si>
  <si>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</si>
  <si>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</si>
  <si>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</si>
  <si>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</si>
  <si>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</si>
  <si>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</si>
  <si>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</si>
  <si>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</si>
  <si>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</si>
  <si>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</si>
  <si>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</si>
  <si>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</si>
  <si>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</si>
  <si>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</si>
  <si>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</si>
  <si>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</si>
  <si>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</si>
  <si>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</si>
  <si>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</si>
  <si>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</si>
  <si>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</si>
  <si>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</si>
  <si>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</si>
  <si>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</si>
  <si>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</si>
  <si>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</si>
  <si>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</si>
  <si>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</si>
  <si>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</si>
  <si>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</si>
  <si>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</si>
  <si>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</si>
  <si>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</si>
  <si>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</si>
  <si>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</si>
  <si>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</si>
  <si>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</si>
  <si>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</si>
  <si>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</si>
  <si>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</si>
  <si>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</si>
  <si>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</si>
  <si>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</si>
  <si>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</si>
  <si>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</si>
  <si>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</si>
  <si>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</si>
  <si>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</si>
  <si>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</si>
  <si>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</si>
  <si>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</si>
  <si>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</si>
  <si>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</si>
  <si>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</si>
  <si>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</si>
  <si>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</si>
  <si>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</si>
  <si>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</si>
  <si>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</si>
  <si>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</si>
  <si>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</si>
  <si>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</si>
  <si>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</si>
  <si>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</si>
  <si>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</si>
  <si>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</si>
  <si>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</si>
  <si>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</si>
  <si>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</si>
  <si>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</si>
  <si>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</si>
  <si>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</si>
  <si>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</si>
  <si>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</si>
  <si>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</si>
  <si>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</si>
  <si>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</si>
  <si>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</si>
  <si>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</si>
  <si>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</si>
  <si>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</si>
  <si>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</si>
  <si>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</si>
  <si>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</si>
  <si>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</si>
  <si>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</si>
  <si>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</si>
  <si>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</si>
  <si>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</si>
  <si>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</si>
  <si>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</si>
  <si>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</si>
  <si>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</si>
  <si>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</si>
  <si>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</si>
  <si>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</si>
  <si>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</si>
  <si>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</si>
  <si>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</si>
  <si>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</si>
  <si>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</si>
  <si>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</si>
  <si>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</si>
  <si>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</si>
  <si>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</si>
  <si>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</si>
  <si>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</si>
  <si>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</si>
  <si>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</si>
  <si>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</si>
  <si>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</si>
  <si>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</si>
  <si>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</si>
  <si>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</si>
  <si>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</si>
  <si>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</si>
  <si>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</si>
  <si>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</si>
  <si>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</si>
  <si>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</si>
  <si>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</si>
  <si>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</si>
  <si>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</si>
  <si>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</si>
  <si>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</si>
  <si>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</si>
  <si>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</si>
  <si>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</si>
  <si>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</si>
  <si>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</si>
  <si>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</si>
  <si>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</si>
  <si>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</si>
  <si>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</si>
  <si>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</si>
  <si>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</si>
  <si>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</si>
  <si>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</si>
  <si>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</si>
  <si>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</si>
  <si>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</si>
  <si>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</si>
  <si>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</si>
  <si>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</si>
  <si>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</si>
  <si>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</si>
  <si>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</si>
  <si>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</si>
  <si>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</si>
  <si>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</si>
  <si>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</si>
  <si>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</si>
  <si>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</si>
  <si>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</si>
  <si>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</si>
  <si>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</si>
  <si>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</si>
  <si>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</si>
  <si>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</si>
  <si>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</si>
  <si>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</si>
  <si>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</si>
  <si>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</si>
  <si>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</si>
  <si>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</si>
  <si>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</si>
  <si>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</si>
  <si>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</si>
  <si>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</si>
  <si>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</si>
  <si>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</si>
  <si>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</si>
  <si>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</si>
  <si>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</si>
  <si>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</si>
  <si>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</si>
  <si>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</si>
  <si>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</si>
  <si>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</si>
  <si>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</si>
  <si>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</si>
  <si>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</si>
  <si>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</si>
  <si>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</si>
  <si>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</si>
  <si>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</si>
  <si>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</si>
  <si>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</si>
  <si>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</si>
  <si>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</si>
  <si>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</si>
  <si>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</si>
  <si>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</si>
  <si>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</si>
  <si>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</si>
  <si>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</si>
  <si>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</si>
  <si>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</si>
  <si>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</si>
  <si>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</si>
  <si>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</si>
  <si>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</si>
  <si>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</si>
  <si>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</si>
  <si>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</si>
  <si>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</si>
  <si>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</si>
  <si>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</si>
  <si>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</si>
  <si>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</si>
  <si>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</si>
  <si>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</si>
  <si>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</si>
  <si>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</si>
  <si>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</si>
  <si>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</si>
  <si>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</si>
  <si>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</si>
  <si>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</si>
  <si>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</si>
  <si>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</si>
  <si>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</si>
  <si>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</si>
  <si>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</si>
  <si>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</si>
  <si>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</si>
  <si>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</si>
  <si>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</si>
  <si>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</si>
  <si>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</si>
  <si>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</si>
  <si>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</si>
  <si>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</si>
  <si>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</si>
  <si>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</si>
  <si>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</si>
  <si>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</si>
  <si>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</si>
  <si>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</si>
  <si>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</si>
  <si>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</si>
  <si>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</si>
  <si>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</si>
  <si>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</si>
  <si>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</si>
  <si>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</si>
  <si>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</si>
  <si>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</si>
  <si>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</si>
  <si>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</si>
  <si>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</si>
  <si>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</si>
  <si>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</si>
  <si>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</si>
  <si>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</si>
  <si>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</si>
  <si>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</si>
  <si>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</si>
  <si>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</si>
  <si>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</si>
  <si>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</si>
  <si>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</si>
  <si>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</si>
  <si>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</si>
  <si>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</si>
  <si>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</si>
  <si>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</si>
  <si>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</si>
  <si>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</si>
  <si>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</si>
  <si>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</si>
  <si>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</si>
  <si>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</si>
  <si>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</si>
  <si>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</si>
  <si>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</si>
  <si>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</si>
  <si>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</si>
  <si>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</si>
  <si>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</si>
  <si>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</si>
  <si>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</si>
  <si>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</si>
  <si>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</si>
  <si>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</si>
  <si>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</si>
  <si>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</si>
  <si>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</si>
  <si>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</si>
  <si>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</si>
  <si>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</si>
  <si>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</si>
  <si>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</si>
  <si>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</si>
  <si>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</si>
  <si>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</si>
  <si>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</si>
  <si>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</si>
  <si>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</si>
  <si>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</si>
  <si>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</si>
  <si>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</si>
  <si>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</si>
  <si>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</si>
  <si>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</si>
  <si>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</si>
  <si>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</si>
  <si>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</si>
  <si>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</si>
  <si>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</si>
  <si>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</si>
  <si>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</si>
  <si>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</si>
  <si>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</si>
  <si>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</si>
  <si>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</si>
  <si>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</si>
  <si>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</si>
  <si>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</si>
  <si>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</si>
  <si>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</si>
  <si>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</si>
  <si>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</si>
  <si>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</si>
  <si>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</si>
  <si>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</si>
  <si>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</si>
  <si>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</si>
  <si>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</si>
  <si>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</si>
  <si>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</si>
  <si>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</si>
  <si>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</si>
  <si>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</si>
  <si>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</si>
  <si>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</si>
  <si>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</si>
  <si>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</si>
  <si>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</si>
  <si>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</si>
  <si>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</si>
  <si>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</si>
  <si>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</si>
  <si>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</si>
  <si>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</si>
  <si>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</si>
  <si>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</si>
  <si>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</si>
  <si>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</si>
  <si>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</si>
  <si>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</si>
  <si>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</si>
  <si>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</si>
  <si>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</si>
  <si>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</si>
  <si>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</si>
  <si>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</si>
  <si>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</si>
  <si>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</si>
  <si>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</si>
  <si>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</si>
  <si>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</si>
  <si>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</si>
  <si>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</si>
  <si>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</si>
  <si>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</si>
  <si>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</si>
  <si>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</si>
  <si>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</si>
  <si>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</si>
  <si>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</si>
  <si>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</si>
  <si>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</si>
  <si>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</si>
  <si>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</si>
  <si>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</si>
  <si>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</si>
  <si>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</si>
  <si>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</si>
  <si>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</si>
  <si>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</si>
  <si>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</si>
  <si>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</si>
  <si>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</si>
  <si>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</si>
  <si>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</si>
  <si>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</si>
  <si>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</si>
  <si>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</si>
  <si>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Auzon</t>
  </si>
  <si>
    <t xml:space="preserve">Rivières</t>
  </si>
  <si>
    <t xml:space="preserve">06120000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</si>
  <si>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</si>
  <si>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</si>
  <si>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</si>
  <si>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</si>
  <si>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</si>
  <si>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</si>
  <si>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</si>
  <si>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</si>
  <si>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</si>
  <si>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</si>
  <si>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</si>
  <si>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</si>
  <si>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</si>
  <si>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</si>
  <si>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</si>
  <si>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</si>
  <si>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</si>
  <si>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</si>
  <si>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</si>
  <si>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</si>
  <si>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</si>
  <si>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</si>
  <si>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</si>
  <si>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</si>
  <si>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</si>
  <si>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</si>
  <si>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</si>
  <si>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</si>
  <si>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</si>
  <si>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</si>
  <si>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</si>
  <si>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</si>
  <si>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</si>
  <si>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</si>
  <si>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</si>
  <si>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</si>
  <si>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</si>
  <si>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</si>
  <si>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</si>
  <si>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</si>
  <si>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</si>
  <si>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</si>
  <si>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</si>
  <si>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</si>
  <si>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</si>
  <si>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</si>
  <si>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</si>
  <si>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</si>
  <si>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</si>
  <si>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</si>
  <si>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(7,651 %)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</si>
  <si>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</si>
  <si>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</si>
  <si>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</si>
  <si>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</si>
  <si>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</si>
  <si>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</si>
  <si>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</si>
  <si>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</si>
  <si>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</si>
  <si>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</si>
  <si>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</si>
  <si>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</si>
  <si>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</si>
  <si>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</si>
  <si>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</si>
  <si>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</si>
  <si>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</si>
  <si>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</si>
  <si>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</si>
  <si>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</si>
  <si>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Alismacae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</si>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</sst>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41456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8.98</v>
      </c>
      <c r="M5" s="323"/>
      <c r="N5" s="324" t="s">
        <v>749</v>
      </c>
      <c r="O5" s="325" t="n">
        <v>8.43181818181818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52</v>
      </c>
      <c r="C7" s="337" t="n">
        <v>48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9.21052631578947</v>
      </c>
      <c r="O8" s="354" t="n">
        <f aca="false">IF(ISERROR(AVERAGE(J23:J82)),"      -",AVERAGE(J23:J82))</f>
        <v>1.63157894736842</v>
      </c>
      <c r="P8" s="355"/>
      <c r="Q8" s="280"/>
      <c r="R8" s="280"/>
      <c r="S8" s="280"/>
      <c r="T8" s="280"/>
      <c r="U8" s="280"/>
      <c r="V8" s="280"/>
      <c r="W8" s="292"/>
      <c r="X8" s="293"/>
    </row>
    <row r="9" customFormat="false" ht="13.5" hidden="false" customHeight="false" outlineLevel="0" collapsed="false">
      <c r="A9" s="313" t="s">
        <v>2635</v>
      </c>
      <c r="B9" s="356" t="n">
        <v>12</v>
      </c>
      <c r="C9" s="357" t="n">
        <v>3</v>
      </c>
      <c r="D9" s="358"/>
      <c r="E9" s="358"/>
      <c r="F9" s="359" t="n">
        <f aca="false">($B9*$B$7+$C9*$C$7)/100</f>
        <v>7.68</v>
      </c>
      <c r="G9" s="360"/>
      <c r="H9" s="361"/>
      <c r="I9" s="362"/>
      <c r="J9" s="363"/>
      <c r="K9" s="343"/>
      <c r="L9" s="364"/>
      <c r="M9" s="353" t="s">
        <v>2636</v>
      </c>
      <c r="N9" s="354" t="n">
        <f aca="false">IF(ISERROR(STDEVP(I23:I82)),"     -",STDEVP(I23:I82))</f>
        <v>3.00138472197542</v>
      </c>
      <c r="O9" s="354" t="n">
        <f aca="false">IF(ISERROR(STDEVP(J23:J82)),"      -",STDEVP(J23:J82))</f>
        <v>0.665742665298606</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4</v>
      </c>
      <c r="O10" s="376" t="n">
        <f aca="false">MIN(J23:J82)</f>
        <v>1</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6</v>
      </c>
      <c r="L13" s="386"/>
      <c r="M13" s="397" t="s">
        <v>2648</v>
      </c>
      <c r="N13" s="398" t="n">
        <f aca="false">COUNTIF(F23:F82,"&gt;0")</f>
        <v>24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19</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11</v>
      </c>
      <c r="L15" s="386"/>
      <c r="M15" s="407" t="s">
        <v>2654</v>
      </c>
      <c r="N15" s="408" t="n">
        <f aca="false">COUNTIF(J23:J82,"=1")</f>
        <v>9</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8</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12.055</v>
      </c>
      <c r="C20" s="436" t="n">
        <f aca="false">SUM(C23:C82)</f>
        <v>2.88</v>
      </c>
      <c r="D20" s="437"/>
      <c r="E20" s="438" t="s">
        <v>2660</v>
      </c>
      <c r="F20" s="439" t="n">
        <f aca="false">($B20*$B$7+$C20*$C$7)/100</f>
        <v>7.651</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6.2686</v>
      </c>
      <c r="C21" s="449" t="n">
        <f aca="false">C20*C7/100</f>
        <v>1.3824</v>
      </c>
      <c r="D21" s="381" t="str">
        <f aca="false">IF(F21=0,"",IF((ABS(F21-F19))&gt;(0.2*F21),CONCATENATE(" rec. par taxa (",F21," %) supérieur à 20 % !"),""))</f>
        <v> rec. par taxa (7,651 %) supérieur à 20 % !</v>
      </c>
      <c r="E21" s="450" t="str">
        <f aca="false">IF(F21=0,"",IF((ABS(F21-F19))&gt;(0.2*F21),CONCATENATE("ATTENTION : écart entre rec. par grp (",F19," %) ","et",""),""))</f>
        <v>ATTENTION : écart entre rec. par grp (0 %) et</v>
      </c>
      <c r="F21" s="451" t="n">
        <f aca="false">B21+C21</f>
        <v>7.651</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1.5</v>
      </c>
      <c r="C23" s="476" t="n">
        <v>0.1</v>
      </c>
      <c r="D23" s="477" t="str">
        <f aca="false">IF(ISERROR(VLOOKUP($A23,'[1]liste reference'!$A$7:$D$904,2,0)),IF(ISERROR(VLOOKUP($A23,'[1]liste reference'!$B$7:$D$904,1,0)),"",VLOOKUP($A23,'[1]liste reference'!$B$7:$D$904,1,0)),VLOOKUP($A23,'[1]liste reference'!$A$7:$D$904,2,0))</f>
        <v>Cladophora sp.</v>
      </c>
      <c r="E23" s="477" t="e">
        <f aca="false">IF(D23="",0,VLOOKUP(D23,D$22:D22,1,0))</f>
        <v>#N/A</v>
      </c>
      <c r="F23" s="478" t="n">
        <f aca="false">($B23*$B$7+$C23*$C$7)/100</f>
        <v>0.828</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6</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1124</v>
      </c>
      <c r="Q23" s="486" t="n">
        <f aca="false">IF(ISTEXT(H23),"",(B23*$B$7/100)+(C23*$C$7/100))</f>
        <v>0.828</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X23" s="489"/>
      <c r="Y23" s="490" t="str">
        <f aca="false">IF(A23="new.cod","NEWCOD",IF(AND((Z23=""),ISTEXT(A23)),A23,IF(Z23="","",INDEX('[1]liste reference'!$A$8:$A$904,Z23))))</f>
        <v>CLASPX</v>
      </c>
      <c r="Z23" s="280" t="n">
        <f aca="false">IF(ISERROR(MATCH(A23,'[1]liste reference'!$A$8:$A$904,0)),IF(ISERROR(MATCH(A23,'[1]liste reference'!$B$8:$B$904,0)),"",(MATCH(A23,'[1]liste reference'!$B$8:$B$904,0))),(MATCH(A23,'[1]liste reference'!$A$8:$A$904,0)))</f>
        <v>23</v>
      </c>
      <c r="AA23" s="491"/>
      <c r="AB23" s="492"/>
      <c r="AC23" s="492"/>
      <c r="BB23" s="280" t="n">
        <f aca="false">IF(A23="","",1)</f>
        <v>1</v>
      </c>
    </row>
    <row r="24" customFormat="false" ht="12.75" hidden="false" customHeight="false" outlineLevel="0" collapsed="false">
      <c r="A24" s="493" t="s">
        <v>154</v>
      </c>
      <c r="B24" s="494" t="n">
        <v>1.5</v>
      </c>
      <c r="C24" s="495"/>
      <c r="D24" s="477" t="str">
        <f aca="false">IF(ISERROR(VLOOKUP($A24,'[1]liste reference'!$A$7:$D$904,2,0)),IF(ISERROR(VLOOKUP($A24,'[1]liste reference'!$B$7:$D$904,1,0)),"",VLOOKUP($A24,'[1]liste reference'!$B$7:$D$904,1,0)),VLOOKUP($A24,'[1]liste reference'!$A$7:$D$904,2,0))</f>
        <v>Lemanea sp.</v>
      </c>
      <c r="E24" s="496" t="e">
        <f aca="false">IF(D24="",0,VLOOKUP(D24,D$22:D23,1,0))</f>
        <v>#N/A</v>
      </c>
      <c r="F24" s="497" t="n">
        <f aca="false">($B24*$B$7+$C24*$C$7)/100</f>
        <v>0.78</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15</v>
      </c>
      <c r="J24" s="481" t="n">
        <f aca="false">IF(ISNUMBER(H24),IF(ISERROR(VLOOKUP($A24,'[1]liste reference'!$A$7:$P$904,4,0)),IF(ISERROR(VLOOKUP($A24,'[1]liste reference'!$B$7:$P$904,3,0)),"",VLOOKUP($A24,'[1]liste reference'!$B$7:$P$904,3,0)),VLOOKUP($A24,'[1]liste reference'!$A$7:$P$904,4,0)),"")</f>
        <v>2</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1159</v>
      </c>
      <c r="Q24" s="486" t="n">
        <f aca="false">IF(ISTEXT(H24),"",(B24*$B$7/100)+(C24*$C$7/100))</f>
        <v>0.78</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Y24" s="490" t="str">
        <f aca="false">IF(A24="new.cod","NEWCOD",IF(AND((Z24=""),ISTEXT(A24)),A24,IF(Z24="","",INDEX('[1]liste reference'!$A$8:$A$904,Z24))))</f>
        <v>LEASPX</v>
      </c>
      <c r="Z24" s="280" t="n">
        <f aca="false">IF(ISERROR(MATCH(A24,'[1]liste reference'!$A$8:$A$904,0)),IF(ISERROR(MATCH(A24,'[1]liste reference'!$B$8:$B$904,0)),"",(MATCH(A24,'[1]liste reference'!$B$8:$B$904,0))),(MATCH(A24,'[1]liste reference'!$A$8:$A$904,0)))</f>
        <v>34</v>
      </c>
      <c r="AA24" s="491"/>
      <c r="AB24" s="492"/>
      <c r="AC24" s="492"/>
      <c r="BB24" s="280" t="n">
        <f aca="false">IF(A24="","",1)</f>
        <v>1</v>
      </c>
    </row>
    <row r="25" customFormat="false" ht="12.75" hidden="false" customHeight="false" outlineLevel="0" collapsed="false">
      <c r="A25" s="493" t="s">
        <v>220</v>
      </c>
      <c r="B25" s="494" t="n">
        <v>0.005</v>
      </c>
      <c r="C25" s="495"/>
      <c r="D25" s="477" t="str">
        <f aca="false">IF(ISERROR(VLOOKUP($A25,'[1]liste reference'!$A$7:$D$904,2,0)),IF(ISERROR(VLOOKUP($A25,'[1]liste reference'!$B$7:$D$904,1,0)),"",VLOOKUP($A25,'[1]liste reference'!$B$7:$D$904,1,0)),VLOOKUP($A25,'[1]liste reference'!$A$7:$D$904,2,0))</f>
        <v>Nostoc sp.</v>
      </c>
      <c r="E25" s="496" t="e">
        <f aca="false">IF(D25="",0,VLOOKUP(D25,D$22:D24,1,0))</f>
        <v>#N/A</v>
      </c>
      <c r="F25" s="497" t="n">
        <f aca="false">($B25*$B$7+$C25*$C$7)/100</f>
        <v>0.0026</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9</v>
      </c>
      <c r="J25" s="481" t="n">
        <f aca="false">IF(ISNUMBER(H25),IF(ISERROR(VLOOKUP($A25,'[1]liste reference'!$A$7:$P$904,4,0)),IF(ISERROR(VLOOKUP($A25,'[1]liste reference'!$B$7:$P$904,3,0)),"",VLOOKUP($A25,'[1]liste reference'!$B$7:$P$904,3,0)),VLOOKUP($A25,'[1]liste reference'!$A$7:$P$904,4,0)),"")</f>
        <v>1</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Nostoc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1105</v>
      </c>
      <c r="Q25" s="486" t="n">
        <f aca="false">IF(ISTEXT(H25),"",(B25*$B$7/100)+(C25*$C$7/100))</f>
        <v>0.0026</v>
      </c>
      <c r="R25" s="487" t="n">
        <f aca="false">IF(OR(ISTEXT(H25),Q25=0),"",IF(Q25&lt;0.1,1,IF(Q25&lt;1,2,IF(Q25&lt;10,3,IF(Q25&lt;50,4,IF(Q25&gt;=50,5,""))))))</f>
        <v>1</v>
      </c>
      <c r="S25" s="487" t="n">
        <f aca="false">IF(ISERROR(R25*I25),0,R25*I25)</f>
        <v>9</v>
      </c>
      <c r="T25" s="487" t="n">
        <f aca="false">IF(ISERROR(R25*I25*J25),0,R25*I25*J25)</f>
        <v>9</v>
      </c>
      <c r="U25" s="499" t="n">
        <f aca="false">IF(ISERROR(R25*J25),0,R25*J25)</f>
        <v>1</v>
      </c>
      <c r="V25" s="488" t="str">
        <f aca="false">IF(AND(A25="",F25=0),"",IF(F25=0,"Il manque le(s) % de rec. !",""))</f>
        <v/>
      </c>
      <c r="W25" s="489"/>
      <c r="Y25" s="490" t="str">
        <f aca="false">IF(A25="new.cod","NEWCOD",IF(AND((Z25=""),ISTEXT(A25)),A25,IF(Z25="","",INDEX('[1]liste reference'!$A$8:$A$904,Z25))))</f>
        <v>NOSSPX</v>
      </c>
      <c r="Z25" s="280" t="n">
        <f aca="false">IF(ISERROR(MATCH(A25,'[1]liste reference'!$A$8:$A$904,0)),IF(ISERROR(MATCH(A25,'[1]liste reference'!$B$8:$B$904,0)),"",(MATCH(A25,'[1]liste reference'!$B$8:$B$904,0))),(MATCH(A25,'[1]liste reference'!$A$8:$A$904,0)))</f>
        <v>54</v>
      </c>
      <c r="AA25" s="491"/>
      <c r="AB25" s="492"/>
      <c r="AC25" s="492"/>
      <c r="BB25" s="280" t="n">
        <f aca="false">IF(A25="","",1)</f>
        <v>1</v>
      </c>
    </row>
    <row r="26" customFormat="false" ht="12.75" hidden="false" customHeight="false" outlineLevel="0" collapsed="false">
      <c r="A26" s="493" t="s">
        <v>258</v>
      </c>
      <c r="B26" s="494"/>
      <c r="C26" s="495" t="n">
        <v>0.3</v>
      </c>
      <c r="D26" s="477" t="str">
        <f aca="false">IF(ISERROR(VLOOKUP($A26,'[1]liste reference'!$A$7:$D$904,2,0)),IF(ISERROR(VLOOKUP($A26,'[1]liste reference'!$B$7:$D$904,1,0)),"",VLOOKUP($A26,'[1]liste reference'!$B$7:$D$904,1,0)),VLOOKUP($A26,'[1]liste reference'!$A$7:$D$904,2,0))</f>
        <v>Spirogyra sp.</v>
      </c>
      <c r="E26" s="496" t="e">
        <f aca="false">IF(D26="",0,VLOOKUP(D26,D$22:D25,1,0))</f>
        <v>#N/A</v>
      </c>
      <c r="F26" s="497" t="n">
        <f aca="false">($B26*$B$7+$C26*$C$7)/100</f>
        <v>0.144</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10</v>
      </c>
      <c r="J26" s="481" t="n">
        <f aca="false">IF(ISNUMBER(H26),IF(ISERROR(VLOOKUP($A26,'[1]liste reference'!$A$7:$P$904,4,0)),IF(ISERROR(VLOOKUP($A26,'[1]liste reference'!$B$7:$P$904,3,0)),"",VLOOKUP($A26,'[1]liste reference'!$B$7:$P$904,3,0)),VLOOKUP($A26,'[1]liste reference'!$A$7:$P$904,4,0)),"")</f>
        <v>1</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Spirogyra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1147</v>
      </c>
      <c r="Q26" s="486" t="n">
        <f aca="false">IF(ISTEXT(H26),"",(B26*$B$7/100)+(C26*$C$7/100))</f>
        <v>0.144</v>
      </c>
      <c r="R26" s="487" t="n">
        <f aca="false">IF(OR(ISTEXT(H26),Q26=0),"",IF(Q26&lt;0.1,1,IF(Q26&lt;1,2,IF(Q26&lt;10,3,IF(Q26&lt;50,4,IF(Q26&gt;=50,5,""))))))</f>
        <v>2</v>
      </c>
      <c r="S26" s="487" t="n">
        <f aca="false">IF(ISERROR(R26*I26),0,R26*I26)</f>
        <v>20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IF(A26="new.cod","NEWCOD",IF(AND((Z26=""),ISTEXT(A26)),A26,IF(Z26="","",INDEX('[1]liste reference'!$A$8:$A$904,Z26))))</f>
        <v>SPISPX</v>
      </c>
      <c r="Z26" s="280" t="n">
        <f aca="false">IF(ISERROR(MATCH(A26,'[1]liste reference'!$A$8:$A$904,0)),IF(ISERROR(MATCH(A26,'[1]liste reference'!$B$8:$B$904,0)),"",(MATCH(A26,'[1]liste reference'!$B$8:$B$904,0))),(MATCH(A26,'[1]liste reference'!$A$8:$A$904,0)))</f>
        <v>69</v>
      </c>
      <c r="AA26" s="491"/>
      <c r="AB26" s="492"/>
      <c r="AC26" s="492"/>
      <c r="BB26" s="280" t="n">
        <f aca="false">IF(A26="","",1)</f>
        <v>1</v>
      </c>
    </row>
    <row r="27" customFormat="false" ht="12.75" hidden="false" customHeight="false" outlineLevel="0" collapsed="false">
      <c r="A27" s="493" t="s">
        <v>301</v>
      </c>
      <c r="B27" s="494" t="n">
        <v>3</v>
      </c>
      <c r="C27" s="495"/>
      <c r="D27" s="477" t="str">
        <f aca="false">IF(ISERROR(VLOOKUP($A27,'[1]liste reference'!$A$7:$D$904,2,0)),IF(ISERROR(VLOOKUP($A27,'[1]liste reference'!$B$7:$D$904,1,0)),"",VLOOKUP($A27,'[1]liste reference'!$B$7:$D$904,1,0)),VLOOKUP($A27,'[1]liste reference'!$A$7:$D$904,2,0))</f>
        <v>Vaucheria sp.</v>
      </c>
      <c r="E27" s="496" t="e">
        <f aca="false">IF(D27="",0,VLOOKUP(D27,D$22:D26,1,0))</f>
        <v>#N/A</v>
      </c>
      <c r="F27" s="497" t="n">
        <f aca="false">($B27*$B$7+$C27*$C$7)/100</f>
        <v>1.56</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4</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Vaucheria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6193</v>
      </c>
      <c r="Q27" s="486" t="n">
        <f aca="false">IF(ISTEXT(H27),"",(B27*$B$7/100)+(C27*$C$7/100))</f>
        <v>1.56</v>
      </c>
      <c r="R27" s="487" t="n">
        <f aca="false">IF(OR(ISTEXT(H27),Q27=0),"",IF(Q27&lt;0.1,1,IF(Q27&lt;1,2,IF(Q27&lt;10,3,IF(Q27&lt;50,4,IF(Q27&gt;=50,5,""))))))</f>
        <v>3</v>
      </c>
      <c r="S27" s="487" t="n">
        <f aca="false">IF(ISERROR(R27*I27),0,R27*I27)</f>
        <v>12</v>
      </c>
      <c r="T27" s="487" t="n">
        <f aca="false">IF(ISERROR(R27*I27*J27),0,R27*I27*J27)</f>
        <v>12</v>
      </c>
      <c r="U27" s="499" t="n">
        <f aca="false">IF(ISERROR(R27*J27),0,R27*J27)</f>
        <v>3</v>
      </c>
      <c r="V27" s="488" t="str">
        <f aca="false">IF(AND(A27="",F27=0),"",IF(F27=0,"Il manque le(s) % de rec. !",""))</f>
        <v/>
      </c>
      <c r="W27" s="489"/>
      <c r="Y27" s="490" t="str">
        <f aca="false">IF(A27="new.cod","NEWCOD",IF(AND((Z27=""),ISTEXT(A27)),A27,IF(Z27="","",INDEX('[1]liste reference'!$A$8:$A$904,Z27))))</f>
        <v>VAUSPX</v>
      </c>
      <c r="Z27" s="280" t="n">
        <f aca="false">IF(ISERROR(MATCH(A27,'[1]liste reference'!$A$8:$A$904,0)),IF(ISERROR(MATCH(A27,'[1]liste reference'!$B$8:$B$904,0)),"",(MATCH(A27,'[1]liste reference'!$B$8:$B$904,0))),(MATCH(A27,'[1]liste reference'!$A$8:$A$904,0)))</f>
        <v>82</v>
      </c>
      <c r="AA27" s="491"/>
      <c r="AB27" s="492"/>
      <c r="AC27" s="492"/>
      <c r="BB27" s="280" t="n">
        <f aca="false">IF(A27="","",1)</f>
        <v>1</v>
      </c>
    </row>
    <row r="28" customFormat="false" ht="12.75" hidden="false" customHeight="false" outlineLevel="0" collapsed="false">
      <c r="A28" s="493" t="s">
        <v>645</v>
      </c>
      <c r="B28" s="494" t="n">
        <v>0.01</v>
      </c>
      <c r="C28" s="495" t="n">
        <v>0.01</v>
      </c>
      <c r="D28" s="477" t="str">
        <f aca="false">IF(ISERROR(VLOOKUP($A28,'[1]liste reference'!$A$7:$D$904,2,0)),IF(ISERROR(VLOOKUP($A28,'[1]liste reference'!$B$7:$D$904,1,0)),"",VLOOKUP($A28,'[1]liste reference'!$B$7:$D$904,1,0)),VLOOKUP($A28,'[1]liste reference'!$A$7:$D$904,2,0))</f>
        <v>Amblystegium riparium</v>
      </c>
      <c r="E28" s="496" t="e">
        <f aca="false">IF(D28="",0,VLOOKUP(D28,D$22:D27,1,0))</f>
        <v>#N/A</v>
      </c>
      <c r="F28" s="497" t="n">
        <f aca="false">($B28*$B$7+$C28*$C$7)/100</f>
        <v>0.01</v>
      </c>
      <c r="G28" s="479" t="str">
        <f aca="false">IF(A28="","",IF(ISERROR(VLOOKUP($A28,'[1]liste reference'!$A$7:$P$904,13,0)),IF(ISERROR(VLOOKUP($A28,'[1]liste reference'!$B$7:$P$904,12,0)),"    -",VLOOKUP($A28,'[1]liste reference'!$B$7:$P$904,12,0)),VLOOKUP($A28,'[1]liste reference'!$A$7:$P$904,13,0)))</f>
        <v>BRm</v>
      </c>
      <c r="H28" s="480" t="n">
        <f aca="false">IF(A28="","x",IF(ISERROR(VLOOKUP($A28,'[1]liste reference'!$A$8:$P$904,14,0)),IF(ISERROR(VLOOKUP($A28,'[1]liste reference'!$B$8:$P$904,13,0)),"x",VLOOKUP($A28,'[1]liste reference'!$B$8:$P$904,13,0)),VLOOKUP($A28,'[1]liste reference'!$A$8:$P$904,14,0)))</f>
        <v>5</v>
      </c>
      <c r="I28" s="481" t="n">
        <f aca="false">IF(ISNUMBER(H28),IF(ISERROR(VLOOKUP($A28,'[1]liste reference'!$A$7:$P$904,3,0)),IF(ISERROR(VLOOKUP($A28,'[1]liste reference'!$B$7:$P$904,2,0)),"",VLOOKUP($A28,'[1]liste reference'!$B$7:$P$904,2,0)),VLOOKUP($A28,'[1]liste reference'!$A$7:$P$904,3,0)),"")</f>
        <v>5</v>
      </c>
      <c r="J28" s="481" t="n">
        <f aca="false">IF(ISNUMBER(H28),IF(ISERROR(VLOOKUP($A28,'[1]liste reference'!$A$7:$P$904,4,0)),IF(ISERROR(VLOOKUP($A28,'[1]liste reference'!$B$7:$P$904,3,0)),"",VLOOKUP($A28,'[1]liste reference'!$B$7:$P$904,3,0)),VLOOKUP($A28,'[1]liste reference'!$A$7:$P$904,4,0)),"")</f>
        <v>2</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riparium</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1219</v>
      </c>
      <c r="Q28" s="486" t="n">
        <f aca="false">IF(ISTEXT(H28),"",(B28*$B$7/100)+(C28*$C$7/100))</f>
        <v>0.01</v>
      </c>
      <c r="R28" s="487" t="n">
        <f aca="false">IF(OR(ISTEXT(H28),Q28=0),"",IF(Q28&lt;0.1,1,IF(Q28&lt;1,2,IF(Q28&lt;10,3,IF(Q28&lt;50,4,IF(Q28&gt;=50,5,""))))))</f>
        <v>1</v>
      </c>
      <c r="S28" s="487" t="n">
        <f aca="false">IF(ISERROR(R28*I28),0,R28*I28)</f>
        <v>5</v>
      </c>
      <c r="T28" s="487" t="n">
        <f aca="false">IF(ISERROR(R28*I28*J28),0,R28*I28*J28)</f>
        <v>10</v>
      </c>
      <c r="U28" s="499" t="n">
        <f aca="false">IF(ISERROR(R28*J28),0,R28*J28)</f>
        <v>2</v>
      </c>
      <c r="V28" s="488" t="str">
        <f aca="false">IF(AND(A28="",F28=0),"",IF(F28=0,"Il manque le(s) % de rec. !",""))</f>
        <v/>
      </c>
      <c r="W28" s="489"/>
      <c r="Y28" s="490" t="str">
        <f aca="false">IF(A28="new.cod","NEWCOD",IF(AND((Z28=""),ISTEXT(A28)),A28,IF(Z28="","",INDEX('[1]liste reference'!$A$8:$A$904,Z28))))</f>
        <v>AMBRIP</v>
      </c>
      <c r="Z28" s="280" t="n">
        <f aca="false">IF(ISERROR(MATCH(A28,'[1]liste reference'!$A$8:$A$904,0)),IF(ISERROR(MATCH(A28,'[1]liste reference'!$B$8:$B$904,0)),"",(MATCH(A28,'[1]liste reference'!$B$8:$B$904,0))),(MATCH(A28,'[1]liste reference'!$A$8:$A$904,0)))</f>
        <v>148</v>
      </c>
      <c r="AA28" s="491"/>
      <c r="AB28" s="492"/>
      <c r="AC28" s="492"/>
      <c r="BB28" s="280" t="n">
        <f aca="false">IF(A28="","",1)</f>
        <v>1</v>
      </c>
    </row>
    <row r="29" customFormat="false" ht="12.75" hidden="false" customHeight="false" outlineLevel="0" collapsed="false">
      <c r="A29" s="493" t="s">
        <v>749</v>
      </c>
      <c r="B29" s="494" t="n">
        <v>6</v>
      </c>
      <c r="C29" s="495"/>
      <c r="D29" s="477" t="str">
        <f aca="false">IF(ISERROR(VLOOKUP($A29,'[1]liste reference'!$A$7:$D$904,2,0)),IF(ISERROR(VLOOKUP($A29,'[1]liste reference'!$B$7:$D$904,1,0)),"",VLOOKUP($A29,'[1]liste reference'!$B$7:$D$904,1,0)),VLOOKUP($A29,'[1]liste reference'!$A$7:$D$904,2,0))</f>
        <v>Cinclidotus riparius</v>
      </c>
      <c r="E29" s="496" t="e">
        <f aca="false">IF(D29="",0,VLOOKUP(D29,D$22:D28,1,0))</f>
        <v>#N/A</v>
      </c>
      <c r="F29" s="497" t="n">
        <f aca="false">($B29*$B$7+$C29*$C$7)/100</f>
        <v>3.12</v>
      </c>
      <c r="G29" s="479" t="str">
        <f aca="false">IF(A29="","",IF(ISERROR(VLOOKUP($A29,'[1]liste reference'!$A$7:$P$904,13,0)),IF(ISERROR(VLOOKUP($A29,'[1]liste reference'!$B$7:$P$904,12,0)),"    -",VLOOKUP($A29,'[1]liste reference'!$B$7:$P$904,12,0)),VLOOKUP($A29,'[1]liste reference'!$A$7:$P$904,13,0)))</f>
        <v>BRm</v>
      </c>
      <c r="H29" s="480" t="n">
        <f aca="false">IF(A29="","x",IF(ISERROR(VLOOKUP($A29,'[1]liste reference'!$A$8:$P$904,14,0)),IF(ISERROR(VLOOKUP($A29,'[1]liste reference'!$B$8:$P$904,13,0)),"x",VLOOKUP($A29,'[1]liste reference'!$B$8:$P$904,13,0)),VLOOKUP($A29,'[1]liste reference'!$A$8:$P$904,14,0)))</f>
        <v>5</v>
      </c>
      <c r="I29" s="481" t="n">
        <f aca="false">IF(ISNUMBER(H29),IF(ISERROR(VLOOKUP($A29,'[1]liste reference'!$A$7:$P$904,3,0)),IF(ISERROR(VLOOKUP($A29,'[1]liste reference'!$B$7:$P$904,2,0)),"",VLOOKUP($A29,'[1]liste reference'!$B$7:$P$904,2,0)),VLOOKUP($A29,'[1]liste reference'!$A$7:$P$904,3,0)),"")</f>
        <v>13</v>
      </c>
      <c r="J29" s="481" t="n">
        <f aca="false">IF(ISNUMBER(H29),IF(ISERROR(VLOOKUP($A29,'[1]liste reference'!$A$7:$P$904,4,0)),IF(ISERROR(VLOOKUP($A29,'[1]liste reference'!$B$7:$P$904,3,0)),"",VLOOKUP($A29,'[1]liste reference'!$B$7:$P$904,3,0)),VLOOKUP($A29,'[1]liste reference'!$A$7:$P$904,4,0)),"")</f>
        <v>2</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Cinclidotus riparius</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1321</v>
      </c>
      <c r="Q29" s="486" t="n">
        <f aca="false">IF(ISTEXT(H29),"",(B29*$B$7/100)+(C29*$C$7/100))</f>
        <v>3.12</v>
      </c>
      <c r="R29" s="487" t="n">
        <f aca="false">IF(OR(ISTEXT(H29),Q29=0),"",IF(Q29&lt;0.1,1,IF(Q29&lt;1,2,IF(Q29&lt;10,3,IF(Q29&lt;50,4,IF(Q29&gt;=50,5,""))))))</f>
        <v>3</v>
      </c>
      <c r="S29" s="487" t="n">
        <f aca="false">IF(ISERROR(R29*I29),0,R29*I29)</f>
        <v>39</v>
      </c>
      <c r="T29" s="487" t="n">
        <f aca="false">IF(ISERROR(R29*I29*J29),0,R29*I29*J29)</f>
        <v>78</v>
      </c>
      <c r="U29" s="499" t="n">
        <f aca="false">IF(ISERROR(R29*J29),0,R29*J29)</f>
        <v>6</v>
      </c>
      <c r="V29" s="488" t="str">
        <f aca="false">IF(AND(A29="",F29=0),"",IF(F29=0,"Il manque le(s) % de rec. !",""))</f>
        <v/>
      </c>
      <c r="W29" s="500"/>
      <c r="Y29" s="490" t="str">
        <f aca="false">IF(A29="new.cod","NEWCOD",IF(AND((Z29=""),ISTEXT(A29)),A29,IF(Z29="","",INDEX('[1]liste reference'!$A$8:$A$904,Z29))))</f>
        <v>CINRIP</v>
      </c>
      <c r="Z29" s="280" t="n">
        <f aca="false">IF(ISERROR(MATCH(A29,'[1]liste reference'!$A$8:$A$904,0)),IF(ISERROR(MATCH(A29,'[1]liste reference'!$B$8:$B$904,0)),"",(MATCH(A29,'[1]liste reference'!$B$8:$B$904,0))),(MATCH(A29,'[1]liste reference'!$A$8:$A$904,0)))</f>
        <v>174</v>
      </c>
      <c r="AA29" s="491"/>
      <c r="AB29" s="492"/>
      <c r="AC29" s="492"/>
      <c r="BB29" s="280" t="n">
        <f aca="false">IF(A29="","",1)</f>
        <v>1</v>
      </c>
    </row>
    <row r="30" customFormat="false" ht="12.75" hidden="false" customHeight="false" outlineLevel="0" collapsed="false">
      <c r="A30" s="493" t="s">
        <v>852</v>
      </c>
      <c r="B30" s="494"/>
      <c r="C30" s="495" t="n">
        <v>0.005</v>
      </c>
      <c r="D30" s="477" t="str">
        <f aca="false">IF(ISERROR(VLOOKUP($A30,'[1]liste reference'!$A$7:$D$904,2,0)),IF(ISERROR(VLOOKUP($A30,'[1]liste reference'!$B$7:$D$904,1,0)),"",VLOOKUP($A30,'[1]liste reference'!$B$7:$D$904,1,0)),VLOOKUP($A30,'[1]liste reference'!$A$7:$D$904,2,0))</f>
        <v>Fissidens crassipes</v>
      </c>
      <c r="E30" s="496" t="e">
        <f aca="false">IF(D30="",0,VLOOKUP(D30,D$22:D29,1,0))</f>
        <v>#N/A</v>
      </c>
      <c r="F30" s="497" t="n">
        <f aca="false">($B30*$B$7+$C30*$C$7)/100</f>
        <v>0.0024</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12</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Fissidens crassipes</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1294</v>
      </c>
      <c r="Q30" s="486" t="n">
        <f aca="false">IF(ISTEXT(H30),"",(B30*$B$7/100)+(C30*$C$7/100))</f>
        <v>0.0024</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IF(A30="new.cod","NEWCOD",IF(AND((Z30=""),ISTEXT(A30)),A30,IF(Z30="","",INDEX('[1]liste reference'!$A$8:$A$904,Z30))))</f>
        <v>FISCRA</v>
      </c>
      <c r="Z30" s="280" t="n">
        <f aca="false">IF(ISERROR(MATCH(A30,'[1]liste reference'!$A$8:$A$904,0)),IF(ISERROR(MATCH(A30,'[1]liste reference'!$B$8:$B$904,0)),"",(MATCH(A30,'[1]liste reference'!$B$8:$B$904,0))),(MATCH(A30,'[1]liste reference'!$A$8:$A$904,0)))</f>
        <v>197</v>
      </c>
      <c r="AA30" s="491"/>
      <c r="AB30" s="492"/>
      <c r="AC30" s="492"/>
      <c r="BB30" s="280" t="n">
        <f aca="false">IF(A30="","",1)</f>
        <v>1</v>
      </c>
    </row>
    <row r="31" customFormat="false" ht="12.75" hidden="false" customHeight="false" outlineLevel="0" collapsed="false">
      <c r="A31" s="493" t="s">
        <v>896</v>
      </c>
      <c r="B31" s="494"/>
      <c r="C31" s="495" t="n">
        <v>0.005</v>
      </c>
      <c r="D31" s="477" t="str">
        <f aca="false">IF(ISERROR(VLOOKUP($A31,'[1]liste reference'!$A$7:$D$904,2,0)),IF(ISERROR(VLOOKUP($A31,'[1]liste reference'!$B$7:$D$904,1,0)),"",VLOOKUP($A31,'[1]liste reference'!$B$7:$D$904,1,0)),VLOOKUP($A31,'[1]liste reference'!$A$7:$D$904,2,0))</f>
        <v>Fontinalis antipyretica</v>
      </c>
      <c r="E31" s="496" t="e">
        <f aca="false">IF(D31="",0,VLOOKUP(D31,D$22:D30,1,0))</f>
        <v>#N/A</v>
      </c>
      <c r="F31" s="497" t="n">
        <f aca="false">($B31*$B$7+$C31*$C$7)/100</f>
        <v>0.0024</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10</v>
      </c>
      <c r="J31" s="481" t="n">
        <f aca="false">IF(ISNUMBER(H31),IF(ISERROR(VLOOKUP($A31,'[1]liste reference'!$A$7:$P$904,4,0)),IF(ISERROR(VLOOKUP($A31,'[1]liste reference'!$B$7:$P$904,3,0)),"",VLOOKUP($A31,'[1]liste reference'!$B$7:$P$904,3,0)),VLOOKUP($A31,'[1]liste reference'!$A$7:$P$904,4,0)),"")</f>
        <v>1</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Fontinalis antipyretica</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1310</v>
      </c>
      <c r="Q31" s="486" t="n">
        <f aca="false">IF(ISTEXT(H31),"",(B31*$B$7/100)+(C31*$C$7/100))</f>
        <v>0.0024</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IF(A31="new.cod","NEWCOD",IF(AND((Z31=""),ISTEXT(A31)),A31,IF(Z31="","",INDEX('[1]liste reference'!$A$8:$A$904,Z31))))</f>
        <v>FONANT</v>
      </c>
      <c r="Z31" s="280" t="n">
        <f aca="false">IF(ISERROR(MATCH(A31,'[1]liste reference'!$A$8:$A$904,0)),IF(ISERROR(MATCH(A31,'[1]liste reference'!$B$8:$B$904,0)),"",(MATCH(A31,'[1]liste reference'!$B$8:$B$904,0))),(MATCH(A31,'[1]liste reference'!$A$8:$A$904,0)))</f>
        <v>210</v>
      </c>
      <c r="AA31" s="491"/>
      <c r="AB31" s="492"/>
      <c r="AC31" s="492"/>
      <c r="BB31" s="280" t="n">
        <f aca="false">IF(A31="","",1)</f>
        <v>1</v>
      </c>
    </row>
    <row r="32" customFormat="false" ht="12.75" hidden="false" customHeight="false" outlineLevel="0" collapsed="false">
      <c r="A32" s="493" t="s">
        <v>959</v>
      </c>
      <c r="B32" s="494"/>
      <c r="C32" s="495" t="n">
        <v>0.005</v>
      </c>
      <c r="D32" s="477" t="str">
        <f aca="false">IF(ISERROR(VLOOKUP($A32,'[1]liste reference'!$A$7:$D$904,2,0)),IF(ISERROR(VLOOKUP($A32,'[1]liste reference'!$B$7:$D$904,1,0)),"",VLOOKUP($A32,'[1]liste reference'!$B$7:$D$904,1,0)),VLOOKUP($A32,'[1]liste reference'!$A$7:$D$904,2,0))</f>
        <v>Octodiceras fontanum</v>
      </c>
      <c r="E32" s="496" t="e">
        <f aca="false">IF(D32="",0,VLOOKUP(D32,D$22:D25,1,0))</f>
        <v>#N/A</v>
      </c>
      <c r="F32" s="497" t="n">
        <f aca="false">($B32*$B$7+$C32*$C$7)/100</f>
        <v>0.0024</v>
      </c>
      <c r="G32" s="479" t="str">
        <f aca="false">IF(A32="","",IF(ISERROR(VLOOKUP($A32,'[1]liste reference'!$A$7:$P$904,13,0)),IF(ISERROR(VLOOKUP($A32,'[1]liste reference'!$B$7:$P$904,12,0)),"    -",VLOOKUP($A32,'[1]liste reference'!$B$7:$P$904,12,0)),VLOOKUP($A32,'[1]liste reference'!$A$7:$P$904,13,0)))</f>
        <v>BRm</v>
      </c>
      <c r="H32" s="480" t="n">
        <f aca="false">IF(A32="","x",IF(ISERROR(VLOOKUP($A32,'[1]liste reference'!$A$8:$P$904,14,0)),IF(ISERROR(VLOOKUP($A32,'[1]liste reference'!$B$8:$P$904,13,0)),"x",VLOOKUP($A32,'[1]liste reference'!$B$8:$P$904,13,0)),VLOOKUP($A32,'[1]liste reference'!$A$8:$P$904,14,0)))</f>
        <v>5</v>
      </c>
      <c r="I32" s="481" t="n">
        <f aca="false">IF(ISNUMBER(H32),IF(ISERROR(VLOOKUP($A32,'[1]liste reference'!$A$7:$P$904,3,0)),IF(ISERROR(VLOOKUP($A32,'[1]liste reference'!$B$7:$P$904,2,0)),"",VLOOKUP($A32,'[1]liste reference'!$B$7:$P$904,2,0)),VLOOKUP($A32,'[1]liste reference'!$A$7:$P$904,3,0)),"")</f>
        <v>7</v>
      </c>
      <c r="J32" s="481" t="n">
        <f aca="false">IF(ISNUMBER(H32),IF(ISERROR(VLOOKUP($A32,'[1]liste reference'!$A$7:$P$904,4,0)),IF(ISERROR(VLOOKUP($A32,'[1]liste reference'!$B$7:$P$904,3,0)),"",VLOOKUP($A32,'[1]liste reference'!$B$7:$P$904,3,0)),VLOOKUP($A32,'[1]liste reference'!$A$7:$P$904,4,0)),"")</f>
        <v>3</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Octodiceras fontanum</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1303</v>
      </c>
      <c r="Q32" s="486" t="n">
        <f aca="false">IF(ISTEXT(H32),"",(B32*$B$7/100)+(C32*$C$7/100))</f>
        <v>0.0024</v>
      </c>
      <c r="R32" s="487" t="n">
        <f aca="false">IF(OR(ISTEXT(H32),Q32=0),"",IF(Q32&lt;0.1,1,IF(Q32&lt;1,2,IF(Q32&lt;10,3,IF(Q32&lt;50,4,IF(Q32&gt;=50,5,""))))))</f>
        <v>1</v>
      </c>
      <c r="S32" s="487" t="n">
        <f aca="false">IF(ISERROR(R32*I32),0,R32*I32)</f>
        <v>7</v>
      </c>
      <c r="T32" s="487" t="n">
        <f aca="false">IF(ISERROR(R32*I32*J32),0,R32*I32*J32)</f>
        <v>21</v>
      </c>
      <c r="U32" s="499" t="n">
        <f aca="false">IF(ISERROR(R32*J32),0,R32*J32)</f>
        <v>3</v>
      </c>
      <c r="V32" s="488" t="str">
        <f aca="false">IF(AND(A32="",F32=0),"",IF(F32=0,"Il manque le(s) % de rec. !",""))</f>
        <v/>
      </c>
      <c r="W32" s="489"/>
      <c r="Y32" s="490" t="str">
        <f aca="false">IF(A32="new.cod","NEWCOD",IF(AND((Z32=""),ISTEXT(A32)),A32,IF(Z32="","",INDEX('[1]liste reference'!$A$8:$A$904,Z32))))</f>
        <v>OCTFON</v>
      </c>
      <c r="Z32" s="280" t="n">
        <f aca="false">IF(ISERROR(MATCH(A32,'[1]liste reference'!$A$8:$A$904,0)),IF(ISERROR(MATCH(A32,'[1]liste reference'!$B$8:$B$904,0)),"",(MATCH(A32,'[1]liste reference'!$B$8:$B$904,0))),(MATCH(A32,'[1]liste reference'!$A$8:$A$904,0)))</f>
        <v>228</v>
      </c>
      <c r="AA32" s="491"/>
      <c r="AB32" s="492"/>
      <c r="AC32" s="492"/>
      <c r="BB32" s="280" t="n">
        <f aca="false">IF(A32="","",1)</f>
        <v>1</v>
      </c>
    </row>
    <row r="33" customFormat="false" ht="12.75" hidden="false" customHeight="false" outlineLevel="0" collapsed="false">
      <c r="A33" s="493" t="s">
        <v>1054</v>
      </c>
      <c r="B33" s="494" t="n">
        <v>0.03</v>
      </c>
      <c r="C33" s="495"/>
      <c r="D33" s="477" t="str">
        <f aca="false">IF(ISERROR(VLOOKUP($A33,'[1]liste reference'!$A$7:$D$904,2,0)),IF(ISERROR(VLOOKUP($A33,'[1]liste reference'!$B$7:$D$904,1,0)),"",VLOOKUP($A33,'[1]liste reference'!$B$7:$D$904,1,0)),VLOOKUP($A33,'[1]liste reference'!$A$7:$D$904,2,0))</f>
        <v>Rhynchostegium riparioides</v>
      </c>
      <c r="E33" s="496" t="e">
        <f aca="false">IF(D33="",0,VLOOKUP(D33,D$22:D32,1,0))</f>
        <v>#N/A</v>
      </c>
      <c r="F33" s="497" t="n">
        <f aca="false">($B33*$B$7+$C33*$C$7)/100</f>
        <v>0.0156</v>
      </c>
      <c r="G33" s="479" t="str">
        <f aca="false">IF(A33="","",IF(ISERROR(VLOOKUP($A33,'[1]liste reference'!$A$7:$P$904,13,0)),IF(ISERROR(VLOOKUP($A33,'[1]liste reference'!$B$7:$P$904,12,0)),"    -",VLOOKUP($A33,'[1]liste reference'!$B$7:$P$904,12,0)),VLOOKUP($A33,'[1]liste reference'!$A$7:$P$904,13,0)))</f>
        <v>BRm</v>
      </c>
      <c r="H33" s="480" t="n">
        <f aca="false">IF(A33="","x",IF(ISERROR(VLOOKUP($A33,'[1]liste reference'!$A$8:$P$904,14,0)),IF(ISERROR(VLOOKUP($A33,'[1]liste reference'!$B$8:$P$904,13,0)),"x",VLOOKUP($A33,'[1]liste reference'!$B$8:$P$904,13,0)),VLOOKUP($A33,'[1]liste reference'!$A$8:$P$904,14,0)))</f>
        <v>5</v>
      </c>
      <c r="I33" s="481" t="n">
        <f aca="false">IF(ISNUMBER(H33),IF(ISERROR(VLOOKUP($A33,'[1]liste reference'!$A$7:$P$904,3,0)),IF(ISERROR(VLOOKUP($A33,'[1]liste reference'!$B$7:$P$904,2,0)),"",VLOOKUP($A33,'[1]liste reference'!$B$7:$P$904,2,0)),VLOOKUP($A33,'[1]liste reference'!$A$7:$P$904,3,0)),"")</f>
        <v>12</v>
      </c>
      <c r="J33" s="481" t="n">
        <f aca="false">IF(ISNUMBER(H33),IF(ISERROR(VLOOKUP($A33,'[1]liste reference'!$A$7:$P$904,4,0)),IF(ISERROR(VLOOKUP($A33,'[1]liste reference'!$B$7:$P$904,3,0)),"",VLOOKUP($A33,'[1]liste reference'!$B$7:$P$904,3,0)),VLOOKUP($A33,'[1]liste reference'!$A$7:$P$904,4,0)),"")</f>
        <v>1</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Rhynchostegium riparioides</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1268</v>
      </c>
      <c r="Q33" s="486" t="n">
        <f aca="false">IF(ISTEXT(H33),"",(B33*$B$7/100)+(C33*$C$7/100))</f>
        <v>0.0156</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IF(A33="new.cod","NEWCOD",IF(AND((Z33=""),ISTEXT(A33)),A33,IF(Z33="","",INDEX('[1]liste reference'!$A$8:$A$904,Z33))))</f>
        <v>RHYRIP</v>
      </c>
      <c r="Z33" s="280" t="n">
        <f aca="false">IF(ISERROR(MATCH(A33,'[1]liste reference'!$A$8:$A$904,0)),IF(ISERROR(MATCH(A33,'[1]liste reference'!$B$8:$B$904,0)),"",(MATCH(A33,'[1]liste reference'!$B$8:$B$904,0))),(MATCH(A33,'[1]liste reference'!$A$8:$A$904,0)))</f>
        <v>252</v>
      </c>
      <c r="AA33" s="491"/>
      <c r="AB33" s="492"/>
      <c r="AC33" s="492"/>
      <c r="BB33" s="280" t="n">
        <f aca="false">IF(A33="","",1)</f>
        <v>1</v>
      </c>
    </row>
    <row r="34" customFormat="false" ht="12.75" hidden="false" customHeight="false" outlineLevel="0" collapsed="false">
      <c r="A34" s="493" t="s">
        <v>1153</v>
      </c>
      <c r="B34" s="494"/>
      <c r="C34" s="495" t="n">
        <v>0.005</v>
      </c>
      <c r="D34" s="477" t="str">
        <f aca="false">IF(ISERROR(VLOOKUP($A34,'[1]liste reference'!$A$7:$D$904,2,0)),IF(ISERROR(VLOOKUP($A34,'[1]liste reference'!$B$7:$D$904,1,0)),"",VLOOKUP($A34,'[1]liste reference'!$B$7:$D$904,1,0)),VLOOKUP($A34,'[1]liste reference'!$A$7:$D$904,2,0))</f>
        <v>Equisetum arvense</v>
      </c>
      <c r="E34" s="496" t="e">
        <f aca="false">IF(D34="",0,VLOOKUP(D34,D$22:D33,1,0))</f>
        <v>#N/A</v>
      </c>
      <c r="F34" s="501" t="n">
        <f aca="false">($B34*$B$7+$C34*$C$7)/100</f>
        <v>0.0024</v>
      </c>
      <c r="G34" s="479" t="str">
        <f aca="false">IF(A34="","",IF(ISERROR(VLOOKUP($A34,'[1]liste reference'!$A$7:$P$904,13,0)),IF(ISERROR(VLOOKUP($A34,'[1]liste reference'!$B$7:$P$904,12,0)),"    -",VLOOKUP($A34,'[1]liste reference'!$B$7:$P$904,12,0)),VLOOKUP($A34,'[1]liste reference'!$A$7:$P$904,13,0)))</f>
        <v>PTE</v>
      </c>
      <c r="H34" s="480" t="n">
        <f aca="false">IF(A34="","x",IF(ISERROR(VLOOKUP($A34,'[1]liste reference'!$A$8:$P$904,14,0)),IF(ISERROR(VLOOKUP($A34,'[1]liste reference'!$B$8:$P$904,13,0)),"x",VLOOKUP($A34,'[1]liste reference'!$B$8:$P$904,13,0)),VLOOKUP($A34,'[1]liste reference'!$A$8:$P$904,14,0)))</f>
        <v>6</v>
      </c>
      <c r="I34" s="481" t="str">
        <f aca="false">IF(ISNUMBER(H34),IF(ISERROR(VLOOKUP($A34,'[1]liste reference'!$A$7:$P$904,3,0)),IF(ISERROR(VLOOKUP($A34,'[1]liste reference'!$B$7:$P$904,2,0)),"",VLOOKUP($A34,'[1]liste reference'!$B$7:$P$904,2,0)),VLOOKUP($A34,'[1]liste reference'!$A$7:$P$904,3,0)),"")</f>
        <v/>
      </c>
      <c r="J34" s="481" t="str">
        <f aca="false">IF(ISNUMBER(H34),IF(ISERROR(VLOOKUP($A34,'[1]liste reference'!$A$7:$P$904,4,0)),IF(ISERROR(VLOOKUP($A34,'[1]liste reference'!$B$7:$P$904,3,0)),"",VLOOKUP($A34,'[1]liste reference'!$B$7:$P$904,3,0)),VLOOKUP($A34,'[1]liste reference'!$A$7:$P$904,4,0)),"")</f>
        <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Equisetum arvense</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1384</v>
      </c>
      <c r="Q34" s="486" t="n">
        <f aca="false">IF(ISTEXT(H34),"",(B34*$B$7/100)+(C34*$C$7/100))</f>
        <v>0.0024</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IF(A34="new.cod","NEWCOD",IF(AND((Z34=""),ISTEXT(A34)),A34,IF(Z34="","",INDEX('[1]liste reference'!$A$8:$A$904,Z34))))</f>
        <v>EQUARV</v>
      </c>
      <c r="Z34" s="280" t="n">
        <f aca="false">IF(ISERROR(MATCH(A34,'[1]liste reference'!$A$8:$A$904,0)),IF(ISERROR(MATCH(A34,'[1]liste reference'!$B$8:$B$904,0)),"",(MATCH(A34,'[1]liste reference'!$B$8:$B$904,0))),(MATCH(A34,'[1]liste reference'!$A$8:$A$904,0)))</f>
        <v>278</v>
      </c>
      <c r="AA34" s="491"/>
      <c r="AB34" s="492"/>
      <c r="AC34" s="492"/>
      <c r="BB34" s="280" t="n">
        <f aca="false">IF(A34="","",1)</f>
        <v>1</v>
      </c>
    </row>
    <row r="35" customFormat="false" ht="12.75" hidden="false" customHeight="false" outlineLevel="0" collapsed="false">
      <c r="A35" s="493" t="s">
        <v>1254</v>
      </c>
      <c r="B35" s="494"/>
      <c r="C35" s="495" t="n">
        <v>0.5</v>
      </c>
      <c r="D35" s="477" t="str">
        <f aca="false">IF(ISERROR(VLOOKUP($A35,'[1]liste reference'!$A$7:$D$904,2,0)),IF(ISERROR(VLOOKUP($A35,'[1]liste reference'!$B$7:$D$904,1,0)),"",VLOOKUP($A35,'[1]liste reference'!$B$7:$D$904,1,0)),VLOOKUP($A35,'[1]liste reference'!$A$7:$D$904,2,0))</f>
        <v>Callitriche obtusangula</v>
      </c>
      <c r="E35" s="496" t="e">
        <f aca="false">IF(D35="",0,VLOOKUP(D35,D$22:D34,1,0))</f>
        <v>#N/A</v>
      </c>
      <c r="F35" s="501" t="n">
        <f aca="false">($B35*$B$7+$C35*$C$7)/100</f>
        <v>0.24</v>
      </c>
      <c r="G35" s="479" t="str">
        <f aca="false">IF(A35="","",IF(ISERROR(VLOOKUP($A35,'[1]liste reference'!$A$7:$P$904,13,0)),IF(ISERROR(VLOOKUP($A35,'[1]liste reference'!$B$7:$P$904,12,0)),"    -",VLOOKUP($A35,'[1]liste reference'!$B$7:$P$904,12,0)),VLOOKUP($A35,'[1]liste reference'!$A$7:$P$904,13,0)))</f>
        <v>PHy</v>
      </c>
      <c r="H35" s="480" t="n">
        <f aca="false">IF(A35="","x",IF(ISERROR(VLOOKUP($A35,'[1]liste reference'!$A$8:$P$904,14,0)),IF(ISERROR(VLOOKUP($A35,'[1]liste reference'!$B$8:$P$904,13,0)),"x",VLOOKUP($A35,'[1]liste reference'!$B$8:$P$904,13,0)),VLOOKUP($A35,'[1]liste reference'!$A$8:$P$904,14,0)))</f>
        <v>7</v>
      </c>
      <c r="I35" s="481" t="n">
        <f aca="false">IF(ISNUMBER(H35),IF(ISERROR(VLOOKUP($A35,'[1]liste reference'!$A$7:$P$904,3,0)),IF(ISERROR(VLOOKUP($A35,'[1]liste reference'!$B$7:$P$904,2,0)),"",VLOOKUP($A35,'[1]liste reference'!$B$7:$P$904,2,0)),VLOOKUP($A35,'[1]liste reference'!$A$7:$P$904,3,0)),"")</f>
        <v>8</v>
      </c>
      <c r="J35" s="481" t="n">
        <f aca="false">IF(ISNUMBER(H35),IF(ISERROR(VLOOKUP($A35,'[1]liste reference'!$A$7:$P$904,4,0)),IF(ISERROR(VLOOKUP($A35,'[1]liste reference'!$B$7:$P$904,3,0)),"",VLOOKUP($A35,'[1]liste reference'!$B$7:$P$904,3,0)),VLOOKUP($A35,'[1]liste reference'!$A$7:$P$904,4,0)),"")</f>
        <v>2</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Callitriche obtusangula</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1700</v>
      </c>
      <c r="Q35" s="486" t="n">
        <f aca="false">IF(ISTEXT(H35),"",(B35*$B$7/100)+(C35*$C$7/100))</f>
        <v>0.24</v>
      </c>
      <c r="R35" s="487" t="n">
        <f aca="false">IF(OR(ISTEXT(H35),Q35=0),"",IF(Q35&lt;0.1,1,IF(Q35&lt;1,2,IF(Q35&lt;10,3,IF(Q35&lt;50,4,IF(Q35&gt;=50,5,""))))))</f>
        <v>2</v>
      </c>
      <c r="S35" s="487" t="n">
        <f aca="false">IF(ISERROR(R35*I35),0,R35*I35)</f>
        <v>16</v>
      </c>
      <c r="T35" s="487" t="n">
        <f aca="false">IF(ISERROR(R35*I35*J35),0,R35*I35*J35)</f>
        <v>32</v>
      </c>
      <c r="U35" s="499" t="n">
        <f aca="false">IF(ISERROR(R35*J35),0,R35*J35)</f>
        <v>4</v>
      </c>
      <c r="V35" s="488" t="str">
        <f aca="false">IF(AND(A35="",F35=0),"",IF(F35=0,"Il manque le(s) % de rec. !",""))</f>
        <v/>
      </c>
      <c r="W35" s="489"/>
      <c r="Y35" s="490" t="str">
        <f aca="false">IF(A35="new.cod","NEWCOD",IF(AND((Z35=""),ISTEXT(A35)),A35,IF(Z35="","",INDEX('[1]liste reference'!$A$8:$A$904,Z35))))</f>
        <v>CALOBT</v>
      </c>
      <c r="Z35" s="280" t="n">
        <f aca="false">IF(ISERROR(MATCH(A35,'[1]liste reference'!$A$8:$A$904,0)),IF(ISERROR(MATCH(A35,'[1]liste reference'!$B$8:$B$904,0)),"",(MATCH(A35,'[1]liste reference'!$B$8:$B$904,0))),(MATCH(A35,'[1]liste reference'!$A$8:$A$904,0)))</f>
        <v>320</v>
      </c>
      <c r="AA35" s="491"/>
      <c r="AB35" s="492"/>
      <c r="AC35" s="492"/>
      <c r="BB35" s="280" t="n">
        <f aca="false">IF(A35="","",1)</f>
        <v>1</v>
      </c>
    </row>
    <row r="36" customFormat="false" ht="12.75" hidden="false" customHeight="false" outlineLevel="0" collapsed="false">
      <c r="A36" s="493" t="s">
        <v>1375</v>
      </c>
      <c r="B36" s="494" t="n">
        <v>0.005</v>
      </c>
      <c r="C36" s="495" t="n">
        <v>0.9</v>
      </c>
      <c r="D36" s="477" t="str">
        <f aca="false">IF(ISERROR(VLOOKUP($A36,'[1]liste reference'!$A$7:$D$904,2,0)),IF(ISERROR(VLOOKUP($A36,'[1]liste reference'!$B$7:$D$904,1,0)),"",VLOOKUP($A36,'[1]liste reference'!$B$7:$D$904,1,0)),VLOOKUP($A36,'[1]liste reference'!$A$7:$D$904,2,0))</f>
        <v>Myriophyllum spicatum</v>
      </c>
      <c r="E36" s="496" t="e">
        <f aca="false">IF(D36="",0,VLOOKUP(D36,D$22:D35,1,0))</f>
        <v>#N/A</v>
      </c>
      <c r="F36" s="501" t="n">
        <f aca="false">($B36*$B$7+$C36*$C$7)/100</f>
        <v>0.4346</v>
      </c>
      <c r="G36" s="479" t="str">
        <f aca="false">IF(A36="","",IF(ISERROR(VLOOKUP($A36,'[1]liste reference'!$A$7:$P$904,13,0)),IF(ISERROR(VLOOKUP($A36,'[1]liste reference'!$B$7:$P$904,12,0)),"    -",VLOOKUP($A36,'[1]liste reference'!$B$7:$P$904,12,0)),VLOOKUP($A36,'[1]liste reference'!$A$7:$P$904,13,0)))</f>
        <v>PHy</v>
      </c>
      <c r="H36" s="480" t="n">
        <f aca="false">IF(A36="","x",IF(ISERROR(VLOOKUP($A36,'[1]liste reference'!$A$8:$P$904,14,0)),IF(ISERROR(VLOOKUP($A36,'[1]liste reference'!$B$8:$P$904,13,0)),"x",VLOOKUP($A36,'[1]liste reference'!$B$8:$P$904,13,0)),VLOOKUP($A36,'[1]liste reference'!$A$8:$P$904,14,0)))</f>
        <v>7</v>
      </c>
      <c r="I36" s="481" t="n">
        <f aca="false">IF(ISNUMBER(H36),IF(ISERROR(VLOOKUP($A36,'[1]liste reference'!$A$7:$P$904,3,0)),IF(ISERROR(VLOOKUP($A36,'[1]liste reference'!$B$7:$P$904,2,0)),"",VLOOKUP($A36,'[1]liste reference'!$B$7:$P$904,2,0)),VLOOKUP($A36,'[1]liste reference'!$A$7:$P$904,3,0)),"")</f>
        <v>8</v>
      </c>
      <c r="J36" s="481" t="n">
        <f aca="false">IF(ISNUMBER(H36),IF(ISERROR(VLOOKUP($A36,'[1]liste reference'!$A$7:$P$904,4,0)),IF(ISERROR(VLOOKUP($A36,'[1]liste reference'!$B$7:$P$904,3,0)),"",VLOOKUP($A36,'[1]liste reference'!$B$7:$P$904,3,0)),VLOOKUP($A36,'[1]liste reference'!$A$7:$P$904,4,0)),"")</f>
        <v>2</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Myriophyllum spicatum</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1778</v>
      </c>
      <c r="Q36" s="486" t="n">
        <f aca="false">IF(ISTEXT(H36),"",(B36*$B$7/100)+(C36*$C$7/100))</f>
        <v>0.4346</v>
      </c>
      <c r="R36" s="487" t="n">
        <f aca="false">IF(OR(ISTEXT(H36),Q36=0),"",IF(Q36&lt;0.1,1,IF(Q36&lt;1,2,IF(Q36&lt;10,3,IF(Q36&lt;50,4,IF(Q36&gt;=50,5,""))))))</f>
        <v>2</v>
      </c>
      <c r="S36" s="487" t="n">
        <f aca="false">IF(ISERROR(R36*I36),0,R36*I36)</f>
        <v>16</v>
      </c>
      <c r="T36" s="487" t="n">
        <f aca="false">IF(ISERROR(R36*I36*J36),0,R36*I36*J36)</f>
        <v>32</v>
      </c>
      <c r="U36" s="499" t="n">
        <f aca="false">IF(ISERROR(R36*J36),0,R36*J36)</f>
        <v>4</v>
      </c>
      <c r="V36" s="488" t="str">
        <f aca="false">IF(AND(A36="",F36=0),"",IF(F36=0,"Il manque le(s) % de rec. !",""))</f>
        <v/>
      </c>
      <c r="W36" s="489"/>
      <c r="Y36" s="490" t="str">
        <f aca="false">IF(A36="new.cod","NEWCOD",IF(AND((Z36=""),ISTEXT(A36)),A36,IF(Z36="","",INDEX('[1]liste reference'!$A$8:$A$904,Z36))))</f>
        <v>MYRSPI</v>
      </c>
      <c r="Z36" s="280" t="n">
        <f aca="false">IF(ISERROR(MATCH(A36,'[1]liste reference'!$A$8:$A$904,0)),IF(ISERROR(MATCH(A36,'[1]liste reference'!$B$8:$B$904,0)),"",(MATCH(A36,'[1]liste reference'!$B$8:$B$904,0))),(MATCH(A36,'[1]liste reference'!$A$8:$A$904,0)))</f>
        <v>373</v>
      </c>
      <c r="AA36" s="491"/>
      <c r="AB36" s="492"/>
      <c r="AC36" s="492"/>
      <c r="BB36" s="280" t="n">
        <f aca="false">IF(A36="","",1)</f>
        <v>1</v>
      </c>
    </row>
    <row r="37" customFormat="false" ht="12.75" hidden="false" customHeight="false" outlineLevel="0" collapsed="false">
      <c r="A37" s="493" t="s">
        <v>1477</v>
      </c>
      <c r="B37" s="494"/>
      <c r="C37" s="495" t="n">
        <v>0.3</v>
      </c>
      <c r="D37" s="477" t="str">
        <f aca="false">IF(ISERROR(VLOOKUP($A37,'[1]liste reference'!$A$7:$D$904,2,0)),IF(ISERROR(VLOOKUP($A37,'[1]liste reference'!$B$7:$D$904,1,0)),"",VLOOKUP($A37,'[1]liste reference'!$B$7:$D$904,1,0)),VLOOKUP($A37,'[1]liste reference'!$A$7:$D$904,2,0))</f>
        <v>Potamogeton nodosus</v>
      </c>
      <c r="E37" s="496" t="e">
        <f aca="false">IF(D37="",0,VLOOKUP(D37,D$22:D36,1,0))</f>
        <v>#N/A</v>
      </c>
      <c r="F37" s="501" t="n">
        <f aca="false">($B37*$B$7+$C37*$C$7)/100</f>
        <v>0.144</v>
      </c>
      <c r="G37" s="479" t="str">
        <f aca="false">IF(A37="","",IF(ISERROR(VLOOKUP($A37,'[1]liste reference'!$A$7:$P$904,13,0)),IF(ISERROR(VLOOKUP($A37,'[1]liste reference'!$B$7:$P$904,12,0)),"    -",VLOOKUP($A37,'[1]liste reference'!$B$7:$P$904,12,0)),VLOOKUP($A37,'[1]liste reference'!$A$7:$P$904,13,0)))</f>
        <v>PHy</v>
      </c>
      <c r="H37" s="480" t="n">
        <f aca="false">IF(A37="","x",IF(ISERROR(VLOOKUP($A37,'[1]liste reference'!$A$8:$P$904,14,0)),IF(ISERROR(VLOOKUP($A37,'[1]liste reference'!$B$8:$P$904,13,0)),"x",VLOOKUP($A37,'[1]liste reference'!$B$8:$P$904,13,0)),VLOOKUP($A37,'[1]liste reference'!$A$8:$P$904,14,0)))</f>
        <v>7</v>
      </c>
      <c r="I37" s="481" t="n">
        <f aca="false">IF(ISNUMBER(H37),IF(ISERROR(VLOOKUP($A37,'[1]liste reference'!$A$7:$P$904,3,0)),IF(ISERROR(VLOOKUP($A37,'[1]liste reference'!$B$7:$P$904,2,0)),"",VLOOKUP($A37,'[1]liste reference'!$B$7:$P$904,2,0)),VLOOKUP($A37,'[1]liste reference'!$A$7:$P$904,3,0)),"")</f>
        <v>4</v>
      </c>
      <c r="J37" s="481" t="n">
        <f aca="false">IF(ISNUMBER(H37),IF(ISERROR(VLOOKUP($A37,'[1]liste reference'!$A$7:$P$904,4,0)),IF(ISERROR(VLOOKUP($A37,'[1]liste reference'!$B$7:$P$904,3,0)),"",VLOOKUP($A37,'[1]liste reference'!$B$7:$P$904,3,0)),VLOOKUP($A37,'[1]liste reference'!$A$7:$P$904,4,0)),"")</f>
        <v>3</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Potamogeton nodosus</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1652</v>
      </c>
      <c r="Q37" s="486" t="n">
        <f aca="false">IF(ISTEXT(H37),"",(B37*$B$7/100)+(C37*$C$7/100))</f>
        <v>0.144</v>
      </c>
      <c r="R37" s="487" t="n">
        <f aca="false">IF(OR(ISTEXT(H37),Q37=0),"",IF(Q37&lt;0.1,1,IF(Q37&lt;1,2,IF(Q37&lt;10,3,IF(Q37&lt;50,4,IF(Q37&gt;=50,5,""))))))</f>
        <v>2</v>
      </c>
      <c r="S37" s="487" t="n">
        <f aca="false">IF(ISERROR(R37*I37),0,R37*I37)</f>
        <v>8</v>
      </c>
      <c r="T37" s="487" t="n">
        <f aca="false">IF(ISERROR(R37*I37*J37),0,R37*I37*J37)</f>
        <v>24</v>
      </c>
      <c r="U37" s="499" t="n">
        <f aca="false">IF(ISERROR(R37*J37),0,R37*J37)</f>
        <v>6</v>
      </c>
      <c r="V37" s="488" t="str">
        <f aca="false">IF(AND(A37="",F37=0),"",IF(F37=0,"Il manque le(s) % de rec. !",""))</f>
        <v/>
      </c>
      <c r="W37" s="489"/>
      <c r="Y37" s="490" t="str">
        <f aca="false">IF(A37="new.cod","NEWCOD",IF(AND((Z37=""),ISTEXT(A37)),A37,IF(Z37="","",INDEX('[1]liste reference'!$A$8:$A$904,Z37))))</f>
        <v>POTNOD</v>
      </c>
      <c r="Z37" s="280" t="n">
        <f aca="false">IF(ISERROR(MATCH(A37,'[1]liste reference'!$A$8:$A$904,0)),IF(ISERROR(MATCH(A37,'[1]liste reference'!$B$8:$B$904,0)),"",(MATCH(A37,'[1]liste reference'!$B$8:$B$904,0))),(MATCH(A37,'[1]liste reference'!$A$8:$A$904,0)))</f>
        <v>418</v>
      </c>
      <c r="AA37" s="491"/>
      <c r="AB37" s="492"/>
      <c r="AC37" s="492"/>
      <c r="BB37" s="280" t="n">
        <f aca="false">IF(A37="","",1)</f>
        <v>1</v>
      </c>
    </row>
    <row r="38" customFormat="false" ht="12.75" hidden="false" customHeight="false" outlineLevel="0" collapsed="false">
      <c r="A38" s="493" t="s">
        <v>1708</v>
      </c>
      <c r="B38" s="494"/>
      <c r="C38" s="495" t="n">
        <v>0.01</v>
      </c>
      <c r="D38" s="477" t="str">
        <f aca="false">IF(ISERROR(VLOOKUP($A38,'[1]liste reference'!$A$7:$D$904,2,0)),IF(ISERROR(VLOOKUP($A38,'[1]liste reference'!$B$7:$D$904,1,0)),"",VLOOKUP($A38,'[1]liste reference'!$B$7:$D$904,1,0)),VLOOKUP($A38,'[1]liste reference'!$A$7:$D$904,2,0))</f>
        <v>Agrostis stolonifera</v>
      </c>
      <c r="E38" s="496" t="e">
        <f aca="false">IF(D38="",0,VLOOKUP(D38,D$22:D37,1,0))</f>
        <v>#N/A</v>
      </c>
      <c r="F38" s="501" t="n">
        <f aca="false">($B38*$B$7+$C38*$C$7)/100</f>
        <v>0.0048</v>
      </c>
      <c r="G38" s="479" t="str">
        <f aca="false">IF(A38="","",IF(ISERROR(VLOOKUP($A38,'[1]liste reference'!$A$7:$P$904,13,0)),IF(ISERROR(VLOOKUP($A38,'[1]liste reference'!$B$7:$P$904,12,0)),"    -",VLOOKUP($A38,'[1]liste reference'!$B$7:$P$904,12,0)),VLOOKUP($A38,'[1]liste reference'!$A$7:$P$904,13,0)))</f>
        <v>PHe</v>
      </c>
      <c r="H38" s="480" t="n">
        <f aca="false">IF(A38="","x",IF(ISERROR(VLOOKUP($A38,'[1]liste reference'!$A$8:$P$904,14,0)),IF(ISERROR(VLOOKUP($A38,'[1]liste reference'!$B$8:$P$904,13,0)),"x",VLOOKUP($A38,'[1]liste reference'!$B$8:$P$904,13,0)),VLOOKUP($A38,'[1]liste reference'!$A$8:$P$904,14,0)))</f>
        <v>8</v>
      </c>
      <c r="I38" s="481" t="n">
        <f aca="false">IF(ISNUMBER(H38),IF(ISERROR(VLOOKUP($A38,'[1]liste reference'!$A$7:$P$904,3,0)),IF(ISERROR(VLOOKUP($A38,'[1]liste reference'!$B$7:$P$904,2,0)),"",VLOOKUP($A38,'[1]liste reference'!$B$7:$P$904,2,0)),VLOOKUP($A38,'[1]liste reference'!$A$7:$P$904,3,0)),"")</f>
        <v>10</v>
      </c>
      <c r="J38" s="481" t="n">
        <f aca="false">IF(ISNUMBER(H38),IF(ISERROR(VLOOKUP($A38,'[1]liste reference'!$A$7:$P$904,4,0)),IF(ISERROR(VLOOKUP($A38,'[1]liste reference'!$B$7:$P$904,3,0)),"",VLOOKUP($A38,'[1]liste reference'!$B$7:$P$904,3,0)),VLOOKUP($A38,'[1]liste reference'!$A$7:$P$904,4,0)),"")</f>
        <v>1</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Agrostis stolonifera</v>
      </c>
      <c r="L38" s="498"/>
      <c r="M38" s="498"/>
      <c r="N38" s="498"/>
      <c r="O38" s="484" t="s">
        <v>2685</v>
      </c>
      <c r="P38" s="485" t="n">
        <f aca="false">IF($A38="NEWCOD",IF($AC38="","No",$AC38),IF(ISTEXT($E38),"DEJA SAISI !",IF($A38="","",IF(ISERROR(VLOOKUP($A38,'[1]liste reference'!A$1:S$1048576,19,FALSE())),IF(ISERROR(VLOOKUP($A38,'[1]liste reference'!B$1:S$1048576,19,FALSE())),"",VLOOKUP($A38,'[1]liste reference'!B$1:S$1048576,19,FALSE())),VLOOKUP($A38,'[1]liste reference'!A$1:S$1048576,19,FALSE())))))</f>
        <v>1543</v>
      </c>
      <c r="Q38" s="486" t="n">
        <f aca="false">IF(ISTEXT(H38),"",(B38*$B$7/100)+(C38*$C$7/100))</f>
        <v>0.0048</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IF(A38="new.cod","NEWCOD",IF(AND((Z38=""),ISTEXT(A38)),A38,IF(Z38="","",INDEX('[1]liste reference'!$A$8:$A$904,Z38))))</f>
        <v>AGRSTO</v>
      </c>
      <c r="Z38" s="280" t="n">
        <f aca="false">IF(ISERROR(MATCH(A38,'[1]liste reference'!$A$8:$A$904,0)),IF(ISERROR(MATCH(A38,'[1]liste reference'!$B$8:$B$904,0)),"",(MATCH(A38,'[1]liste reference'!$B$8:$B$904,0))),(MATCH(A38,'[1]liste reference'!$A$8:$A$904,0)))</f>
        <v>514</v>
      </c>
      <c r="AA38" s="491" t="s">
        <v>2685</v>
      </c>
      <c r="AB38" s="492"/>
      <c r="AC38" s="492"/>
      <c r="BB38" s="280" t="n">
        <f aca="false">IF(A38="","",1)</f>
        <v>1</v>
      </c>
    </row>
    <row r="39" customFormat="false" ht="12.75" hidden="false" customHeight="false" outlineLevel="0" collapsed="false">
      <c r="A39" s="493" t="s">
        <v>1777</v>
      </c>
      <c r="B39" s="494"/>
      <c r="C39" s="495" t="n">
        <v>0.2</v>
      </c>
      <c r="D39" s="477" t="str">
        <f aca="false">IF(ISERROR(VLOOKUP($A39,'[1]liste reference'!$A$7:$D$904,2,0)),IF(ISERROR(VLOOKUP($A39,'[1]liste reference'!$B$7:$D$904,1,0)),"",VLOOKUP($A39,'[1]liste reference'!$B$7:$D$904,1,0)),VLOOKUP($A39,'[1]liste reference'!$A$7:$D$904,2,0))</f>
        <v>Carex elata</v>
      </c>
      <c r="E39" s="496" t="e">
        <f aca="false">IF(D39="",0,VLOOKUP(D39,D$22:D38,1,0))</f>
        <v>#N/A</v>
      </c>
      <c r="F39" s="501" t="n">
        <f aca="false">($B39*$B$7+$C39*$C$7)/100</f>
        <v>0.096</v>
      </c>
      <c r="G39" s="479" t="str">
        <f aca="false">IF(A39="","",IF(ISERROR(VLOOKUP($A39,'[1]liste reference'!$A$7:$P$904,13,0)),IF(ISERROR(VLOOKUP($A39,'[1]liste reference'!$B$7:$P$904,12,0)),"    -",VLOOKUP($A39,'[1]liste reference'!$B$7:$P$904,12,0)),VLOOKUP($A39,'[1]liste reference'!$A$7:$P$904,13,0)))</f>
        <v>PHe</v>
      </c>
      <c r="H39" s="480" t="n">
        <f aca="false">IF(A39="","x",IF(ISERROR(VLOOKUP($A39,'[1]liste reference'!$A$8:$P$904,14,0)),IF(ISERROR(VLOOKUP($A39,'[1]liste reference'!$B$8:$P$904,13,0)),"x",VLOOKUP($A39,'[1]liste reference'!$B$8:$P$904,13,0)),VLOOKUP($A39,'[1]liste reference'!$A$8:$P$904,14,0)))</f>
        <v>8</v>
      </c>
      <c r="I39" s="481" t="str">
        <f aca="false">IF(ISNUMBER(H39),IF(ISERROR(VLOOKUP($A39,'[1]liste reference'!$A$7:$P$904,3,0)),IF(ISERROR(VLOOKUP($A39,'[1]liste reference'!$B$7:$P$904,2,0)),"",VLOOKUP($A39,'[1]liste reference'!$B$7:$P$904,2,0)),VLOOKUP($A39,'[1]liste reference'!$A$7:$P$904,3,0)),"")</f>
        <v/>
      </c>
      <c r="J39" s="481" t="str">
        <f aca="false">IF(ISNUMBER(H39),IF(ISERROR(VLOOKUP($A39,'[1]liste reference'!$A$7:$P$904,4,0)),IF(ISERROR(VLOOKUP($A39,'[1]liste reference'!$B$7:$P$904,3,0)),"",VLOOKUP($A39,'[1]liste reference'!$B$7:$P$904,3,0)),VLOOKUP($A39,'[1]liste reference'!$A$7:$P$904,4,0)),"")</f>
        <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Carex elata</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1475</v>
      </c>
      <c r="Q39" s="486" t="n">
        <f aca="false">IF(ISTEXT(H39),"",(B39*$B$7/100)+(C39*$C$7/100))</f>
        <v>0.096</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IF(A39="new.cod","NEWCOD",IF(AND((Z39=""),ISTEXT(A39)),A39,IF(Z39="","",INDEX('[1]liste reference'!$A$8:$A$904,Z39))))</f>
        <v>CARELA</v>
      </c>
      <c r="Z39" s="280" t="n">
        <f aca="false">IF(ISERROR(MATCH(A39,'[1]liste reference'!$A$8:$A$904,0)),IF(ISERROR(MATCH(A39,'[1]liste reference'!$B$8:$B$904,0)),"",(MATCH(A39,'[1]liste reference'!$B$8:$B$904,0))),(MATCH(A39,'[1]liste reference'!$A$8:$A$904,0)))</f>
        <v>539</v>
      </c>
      <c r="AA39" s="491"/>
      <c r="AB39" s="492"/>
      <c r="AC39" s="492"/>
      <c r="BB39" s="280" t="n">
        <f aca="false">IF(A39="","",1)</f>
        <v>1</v>
      </c>
    </row>
    <row r="40" customFormat="false" ht="12.75" hidden="false" customHeight="false" outlineLevel="0" collapsed="false">
      <c r="A40" s="493" t="s">
        <v>1923</v>
      </c>
      <c r="B40" s="494"/>
      <c r="C40" s="495" t="n">
        <v>0.01</v>
      </c>
      <c r="D40" s="477" t="str">
        <f aca="false">IF(ISERROR(VLOOKUP($A40,'[1]liste reference'!$A$7:$D$904,2,0)),IF(ISERROR(VLOOKUP($A40,'[1]liste reference'!$B$7:$D$904,1,0)),"",VLOOKUP($A40,'[1]liste reference'!$B$7:$D$904,1,0)),VLOOKUP($A40,'[1]liste reference'!$A$7:$D$904,2,0))</f>
        <v>Lysimachia vulgaris</v>
      </c>
      <c r="E40" s="496" t="e">
        <f aca="false">IF(D40="",0,VLOOKUP(D40,D$22:D39,1,0))</f>
        <v>#N/A</v>
      </c>
      <c r="F40" s="501" t="n">
        <f aca="false">($B40*$B$7+$C40*$C$7)/100</f>
        <v>0.0048</v>
      </c>
      <c r="G40" s="479" t="str">
        <f aca="false">IF(A40="","",IF(ISERROR(VLOOKUP($A40,'[1]liste reference'!$A$7:$P$904,13,0)),IF(ISERROR(VLOOKUP($A40,'[1]liste reference'!$B$7:$P$904,12,0)),"    -",VLOOKUP($A40,'[1]liste reference'!$B$7:$P$904,12,0)),VLOOKUP($A40,'[1]liste reference'!$A$7:$P$904,13,0)))</f>
        <v>PHe</v>
      </c>
      <c r="H40" s="480" t="n">
        <f aca="false">IF(A40="","x",IF(ISERROR(VLOOKUP($A40,'[1]liste reference'!$A$8:$P$904,14,0)),IF(ISERROR(VLOOKUP($A40,'[1]liste reference'!$B$8:$P$904,13,0)),"x",VLOOKUP($A40,'[1]liste reference'!$B$8:$P$904,13,0)),VLOOKUP($A40,'[1]liste reference'!$A$8:$P$904,14,0)))</f>
        <v>8</v>
      </c>
      <c r="I40" s="481" t="str">
        <f aca="false">IF(ISNUMBER(H40),IF(ISERROR(VLOOKUP($A40,'[1]liste reference'!$A$7:$P$904,3,0)),IF(ISERROR(VLOOKUP($A40,'[1]liste reference'!$B$7:$P$904,2,0)),"",VLOOKUP($A40,'[1]liste reference'!$B$7:$P$904,2,0)),VLOOKUP($A40,'[1]liste reference'!$A$7:$P$904,3,0)),"")</f>
        <v/>
      </c>
      <c r="J40" s="481" t="str">
        <f aca="false">IF(ISNUMBER(H40),IF(ISERROR(VLOOKUP($A40,'[1]liste reference'!$A$7:$P$904,4,0)),IF(ISERROR(VLOOKUP($A40,'[1]liste reference'!$B$7:$P$904,3,0)),"",VLOOKUP($A40,'[1]liste reference'!$B$7:$P$904,3,0)),VLOOKUP($A40,'[1]liste reference'!$A$7:$P$904,4,0)),"")</f>
        <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Lysimachia vulgaris</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1887</v>
      </c>
      <c r="Q40" s="486" t="n">
        <f aca="false">IF(ISTEXT(H40),"",(B40*$B$7/100)+(C40*$C$7/100))</f>
        <v>0.0048</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IF(A40="new.cod","NEWCOD",IF(AND((Z40=""),ISTEXT(A40)),A40,IF(Z40="","",INDEX('[1]liste reference'!$A$8:$A$904,Z40))))</f>
        <v>LYSVUL</v>
      </c>
      <c r="Z40" s="280" t="n">
        <f aca="false">IF(ISERROR(MATCH(A40,'[1]liste reference'!$A$8:$A$904,0)),IF(ISERROR(MATCH(A40,'[1]liste reference'!$B$8:$B$904,0)),"",(MATCH(A40,'[1]liste reference'!$B$8:$B$904,0))),(MATCH(A40,'[1]liste reference'!$A$8:$A$904,0)))</f>
        <v>601</v>
      </c>
      <c r="AA40" s="491"/>
      <c r="AB40" s="492"/>
      <c r="AC40" s="492"/>
      <c r="BB40" s="280" t="n">
        <f aca="false">IF(A40="","",1)</f>
        <v>1</v>
      </c>
    </row>
    <row r="41" customFormat="false" ht="12.75" hidden="false" customHeight="false" outlineLevel="0" collapsed="false">
      <c r="A41" s="493" t="s">
        <v>1932</v>
      </c>
      <c r="B41" s="494" t="n">
        <v>0.005</v>
      </c>
      <c r="C41" s="495" t="n">
        <v>0.005</v>
      </c>
      <c r="D41" s="477" t="str">
        <f aca="false">IF(ISERROR(VLOOKUP($A41,'[1]liste reference'!$A$7:$D$904,2,0)),IF(ISERROR(VLOOKUP($A41,'[1]liste reference'!$B$7:$D$904,1,0)),"",VLOOKUP($A41,'[1]liste reference'!$B$7:$D$904,1,0)),VLOOKUP($A41,'[1]liste reference'!$A$7:$D$904,2,0))</f>
        <v>Lythrum salicaria</v>
      </c>
      <c r="E41" s="496" t="e">
        <f aca="false">IF(D41="",0,VLOOKUP(D41,D$22:D40,1,0))</f>
        <v>#N/A</v>
      </c>
      <c r="F41" s="501" t="n">
        <f aca="false">($B41*$B$7+$C41*$C$7)/100</f>
        <v>0.005</v>
      </c>
      <c r="G41" s="479" t="str">
        <f aca="false">IF(A41="","",IF(ISERROR(VLOOKUP($A41,'[1]liste reference'!$A$7:$P$904,13,0)),IF(ISERROR(VLOOKUP($A41,'[1]liste reference'!$B$7:$P$904,12,0)),"    -",VLOOKUP($A41,'[1]liste reference'!$B$7:$P$904,12,0)),VLOOKUP($A41,'[1]liste reference'!$A$7:$P$904,13,0)))</f>
        <v>PHe</v>
      </c>
      <c r="H41" s="480" t="n">
        <f aca="false">IF(A41="","x",IF(ISERROR(VLOOKUP($A41,'[1]liste reference'!$A$8:$P$904,14,0)),IF(ISERROR(VLOOKUP($A41,'[1]liste reference'!$B$8:$P$904,13,0)),"x",VLOOKUP($A41,'[1]liste reference'!$B$8:$P$904,13,0)),VLOOKUP($A41,'[1]liste reference'!$A$8:$P$904,14,0)))</f>
        <v>8</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Lythrum salicaria</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1823</v>
      </c>
      <c r="Q41" s="486" t="n">
        <f aca="false">IF(ISTEXT(H41),"",(B41*$B$7/100)+(C41*$C$7/100))</f>
        <v>0.005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IF(A41="new.cod","NEWCOD",IF(AND((Z41=""),ISTEXT(A41)),A41,IF(Z41="","",INDEX('[1]liste reference'!$A$8:$A$904,Z41))))</f>
        <v>LYTSAL</v>
      </c>
      <c r="Z41" s="280" t="n">
        <f aca="false">IF(ISERROR(MATCH(A41,'[1]liste reference'!$A$8:$A$904,0)),IF(ISERROR(MATCH(A41,'[1]liste reference'!$B$8:$B$904,0)),"",(MATCH(A41,'[1]liste reference'!$B$8:$B$904,0))),(MATCH(A41,'[1]liste reference'!$A$8:$A$904,0)))</f>
        <v>605</v>
      </c>
      <c r="AA41" s="491"/>
      <c r="AB41" s="492"/>
      <c r="AC41" s="492"/>
      <c r="BB41" s="280" t="n">
        <f aca="false">IF(A41="","",1)</f>
        <v>1</v>
      </c>
    </row>
    <row r="42" customFormat="false" ht="12.75" hidden="false" customHeight="false" outlineLevel="0" collapsed="false">
      <c r="A42" s="493" t="s">
        <v>1936</v>
      </c>
      <c r="B42" s="494"/>
      <c r="C42" s="495" t="n">
        <v>0.01</v>
      </c>
      <c r="D42" s="477" t="str">
        <f aca="false">IF(ISERROR(VLOOKUP($A42,'[1]liste reference'!$A$7:$D$904,2,0)),IF(ISERROR(VLOOKUP($A42,'[1]liste reference'!$B$7:$D$904,1,0)),"",VLOOKUP($A42,'[1]liste reference'!$B$7:$D$904,1,0)),VLOOKUP($A42,'[1]liste reference'!$A$7:$D$904,2,0))</f>
        <v>Mentha aquatica</v>
      </c>
      <c r="E42" s="496" t="e">
        <f aca="false">IF(D42="",0,VLOOKUP(D42,D$22:D41,1,0))</f>
        <v>#N/A</v>
      </c>
      <c r="F42" s="501" t="n">
        <f aca="false">($B42*$B$7+$C42*$C$7)/100</f>
        <v>0.0048</v>
      </c>
      <c r="G42" s="479" t="str">
        <f aca="false">IF(A42="","",IF(ISERROR(VLOOKUP($A42,'[1]liste reference'!$A$7:$P$904,13,0)),IF(ISERROR(VLOOKUP($A42,'[1]liste reference'!$B$7:$P$904,12,0)),"    -",VLOOKUP($A42,'[1]liste reference'!$B$7:$P$904,12,0)),VLOOKUP($A42,'[1]liste reference'!$A$7:$P$904,13,0)))</f>
        <v>PHe</v>
      </c>
      <c r="H42" s="480" t="n">
        <f aca="false">IF(A42="","x",IF(ISERROR(VLOOKUP($A42,'[1]liste reference'!$A$8:$P$904,14,0)),IF(ISERROR(VLOOKUP($A42,'[1]liste reference'!$B$8:$P$904,13,0)),"x",VLOOKUP($A42,'[1]liste reference'!$B$8:$P$904,13,0)),VLOOKUP($A42,'[1]liste reference'!$A$8:$P$904,14,0)))</f>
        <v>8</v>
      </c>
      <c r="I42" s="481" t="n">
        <f aca="false">IF(ISNUMBER(H42),IF(ISERROR(VLOOKUP($A42,'[1]liste reference'!$A$7:$P$904,3,0)),IF(ISERROR(VLOOKUP($A42,'[1]liste reference'!$B$7:$P$904,2,0)),"",VLOOKUP($A42,'[1]liste reference'!$B$7:$P$904,2,0)),VLOOKUP($A42,'[1]liste reference'!$A$7:$P$904,3,0)),"")</f>
        <v>12</v>
      </c>
      <c r="J42" s="481" t="n">
        <f aca="false">IF(ISNUMBER(H42),IF(ISERROR(VLOOKUP($A42,'[1]liste reference'!$A$7:$P$904,4,0)),IF(ISERROR(VLOOKUP($A42,'[1]liste reference'!$B$7:$P$904,3,0)),"",VLOOKUP($A42,'[1]liste reference'!$B$7:$P$904,3,0)),VLOOKUP($A42,'[1]liste reference'!$A$7:$P$904,4,0)),"")</f>
        <v>1</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Mentha aquatica</v>
      </c>
      <c r="L42" s="498"/>
      <c r="M42" s="498"/>
      <c r="N42" s="498"/>
      <c r="O42" s="484" t="s">
        <v>2685</v>
      </c>
      <c r="P42" s="485" t="n">
        <f aca="false">IF($A42="NEWCOD",IF($AC42="","No",$AC42),IF(ISTEXT($E42),"DEJA SAISI !",IF($A42="","",IF(ISERROR(VLOOKUP($A42,'[1]liste reference'!A$1:S$1048576,19,FALSE())),IF(ISERROR(VLOOKUP($A42,'[1]liste reference'!B$1:S$1048576,19,FALSE())),"",VLOOKUP($A42,'[1]liste reference'!B$1:S$1048576,19,FALSE())),VLOOKUP($A42,'[1]liste reference'!A$1:S$1048576,19,FALSE())))))</f>
        <v>1791</v>
      </c>
      <c r="Q42" s="486" t="n">
        <f aca="false">IF(ISTEXT(H42),"",(B42*$B$7/100)+(C42*$C$7/100))</f>
        <v>0.0048</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IF(A42="new.cod","NEWCOD",IF(AND((Z42=""),ISTEXT(A42)),A42,IF(Z42="","",INDEX('[1]liste reference'!$A$8:$A$904,Z42))))</f>
        <v>MENAQU</v>
      </c>
      <c r="Z42" s="280" t="n">
        <f aca="false">IF(ISERROR(MATCH(A42,'[1]liste reference'!$A$8:$A$904,0)),IF(ISERROR(MATCH(A42,'[1]liste reference'!$B$8:$B$904,0)),"",(MATCH(A42,'[1]liste reference'!$B$8:$B$904,0))),(MATCH(A42,'[1]liste reference'!$A$8:$A$904,0)))</f>
        <v>607</v>
      </c>
      <c r="AA42" s="491" t="s">
        <v>2685</v>
      </c>
      <c r="AB42" s="492"/>
      <c r="AC42" s="492"/>
      <c r="BB42" s="280" t="n">
        <f aca="false">IF(A42="","",1)</f>
        <v>1</v>
      </c>
    </row>
    <row r="43" customFormat="false" ht="12.75" hidden="false" customHeight="false" outlineLevel="0" collapsed="false">
      <c r="A43" s="493" t="s">
        <v>1984</v>
      </c>
      <c r="B43" s="494"/>
      <c r="C43" s="495" t="n">
        <v>0.005</v>
      </c>
      <c r="D43" s="477" t="str">
        <f aca="false">IF(ISERROR(VLOOKUP($A43,'[1]liste reference'!$A$7:$D$904,2,0)),IF(ISERROR(VLOOKUP($A43,'[1]liste reference'!$B$7:$D$904,1,0)),"",VLOOKUP($A43,'[1]liste reference'!$B$7:$D$904,1,0)),VLOOKUP($A43,'[1]liste reference'!$A$7:$D$904,2,0))</f>
        <v>Nasturtium officinale</v>
      </c>
      <c r="E43" s="496" t="e">
        <f aca="false">IF(D43="",0,VLOOKUP(D43,D$22:D42,1,0))</f>
        <v>#N/A</v>
      </c>
      <c r="F43" s="501" t="n">
        <f aca="false">($B43*$B$7+$C43*$C$7)/100</f>
        <v>0.0024</v>
      </c>
      <c r="G43" s="479" t="str">
        <f aca="false">IF(A43="","",IF(ISERROR(VLOOKUP($A43,'[1]liste reference'!$A$7:$P$904,13,0)),IF(ISERROR(VLOOKUP($A43,'[1]liste reference'!$B$7:$P$904,12,0)),"    -",VLOOKUP($A43,'[1]liste reference'!$B$7:$P$904,12,0)),VLOOKUP($A43,'[1]liste reference'!$A$7:$P$904,13,0)))</f>
        <v>PHe</v>
      </c>
      <c r="H43" s="480" t="n">
        <f aca="false">IF(A43="","x",IF(ISERROR(VLOOKUP($A43,'[1]liste reference'!$A$8:$P$904,14,0)),IF(ISERROR(VLOOKUP($A43,'[1]liste reference'!$B$8:$P$904,13,0)),"x",VLOOKUP($A43,'[1]liste reference'!$B$8:$P$904,13,0)),VLOOKUP($A43,'[1]liste reference'!$A$8:$P$904,14,0)))</f>
        <v>8</v>
      </c>
      <c r="I43" s="481" t="n">
        <f aca="false">IF(ISNUMBER(H43),IF(ISERROR(VLOOKUP($A43,'[1]liste reference'!$A$7:$P$904,3,0)),IF(ISERROR(VLOOKUP($A43,'[1]liste reference'!$B$7:$P$904,2,0)),"",VLOOKUP($A43,'[1]liste reference'!$B$7:$P$904,2,0)),VLOOKUP($A43,'[1]liste reference'!$A$7:$P$904,3,0)),"")</f>
        <v>11</v>
      </c>
      <c r="J43" s="481" t="n">
        <f aca="false">IF(ISNUMBER(H43),IF(ISERROR(VLOOKUP($A43,'[1]liste reference'!$A$7:$P$904,4,0)),IF(ISERROR(VLOOKUP($A43,'[1]liste reference'!$B$7:$P$904,3,0)),"",VLOOKUP($A43,'[1]liste reference'!$B$7:$P$904,3,0)),VLOOKUP($A43,'[1]liste reference'!$A$7:$P$904,4,0)),"")</f>
        <v>1</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Nasturtium officinale</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1763</v>
      </c>
      <c r="Q43" s="486" t="n">
        <f aca="false">IF(ISTEXT(H43),"",(B43*$B$7/100)+(C43*$C$7/100))</f>
        <v>0.0024</v>
      </c>
      <c r="R43" s="487" t="n">
        <f aca="false">IF(OR(ISTEXT(H43),Q43=0),"",IF(Q43&lt;0.1,1,IF(Q43&lt;1,2,IF(Q43&lt;10,3,IF(Q43&lt;50,4,IF(Q43&gt;=50,5,""))))))</f>
        <v>1</v>
      </c>
      <c r="S43" s="487" t="n">
        <f aca="false">IF(ISERROR(R43*I43),0,R43*I43)</f>
        <v>11</v>
      </c>
      <c r="T43" s="487" t="n">
        <f aca="false">IF(ISERROR(R43*I43*J43),0,R43*I43*J43)</f>
        <v>11</v>
      </c>
      <c r="U43" s="499" t="n">
        <f aca="false">IF(ISERROR(R43*J43),0,R43*J43)</f>
        <v>1</v>
      </c>
      <c r="V43" s="488" t="str">
        <f aca="false">IF(AND(A43="",F43=0),"",IF(F43=0,"Il manque le(s) % de rec. !",""))</f>
        <v/>
      </c>
      <c r="W43" s="489"/>
      <c r="Y43" s="490" t="str">
        <f aca="false">IF(A43="new.cod","NEWCOD",IF(AND((Z43=""),ISTEXT(A43)),A43,IF(Z43="","",INDEX('[1]liste reference'!$A$8:$A$904,Z43))))</f>
        <v>NASOFF</v>
      </c>
      <c r="Z43" s="280" t="n">
        <f aca="false">IF(ISERROR(MATCH(A43,'[1]liste reference'!$A$8:$A$904,0)),IF(ISERROR(MATCH(A43,'[1]liste reference'!$B$8:$B$904,0)),"",(MATCH(A43,'[1]liste reference'!$B$8:$B$904,0))),(MATCH(A43,'[1]liste reference'!$A$8:$A$904,0)))</f>
        <v>628</v>
      </c>
      <c r="AA43" s="491"/>
      <c r="AB43" s="492"/>
      <c r="AC43" s="492"/>
      <c r="BB43" s="280" t="n">
        <f aca="false">IF(A43="","",1)</f>
        <v>1</v>
      </c>
    </row>
    <row r="44" customFormat="false" ht="12.75" hidden="false" customHeight="false" outlineLevel="0" collapsed="false">
      <c r="A44" s="493" t="s">
        <v>2068</v>
      </c>
      <c r="B44" s="494"/>
      <c r="C44" s="495" t="n">
        <v>0.005</v>
      </c>
      <c r="D44" s="477" t="str">
        <f aca="false">IF(ISERROR(VLOOKUP($A44,'[1]liste reference'!$A$7:$D$904,2,0)),IF(ISERROR(VLOOKUP($A44,'[1]liste reference'!$B$7:$D$904,1,0)),"",VLOOKUP($A44,'[1]liste reference'!$B$7:$D$904,1,0)),VLOOKUP($A44,'[1]liste reference'!$A$7:$D$904,2,0))</f>
        <v>Scirpus lacustris</v>
      </c>
      <c r="E44" s="496" t="e">
        <f aca="false">IF(D44="",0,VLOOKUP(D44,D$22:D43,1,0))</f>
        <v>#N/A</v>
      </c>
      <c r="F44" s="501" t="n">
        <f aca="false">($B44*$B$7+$C44*$C$7)/100</f>
        <v>0.0024</v>
      </c>
      <c r="G44" s="479" t="str">
        <f aca="false">IF(A44="","",IF(ISERROR(VLOOKUP($A44,'[1]liste reference'!$A$7:$P$904,13,0)),IF(ISERROR(VLOOKUP($A44,'[1]liste reference'!$B$7:$P$904,12,0)),"    -",VLOOKUP($A44,'[1]liste reference'!$B$7:$P$904,12,0)),VLOOKUP($A44,'[1]liste reference'!$A$7:$P$904,13,0)))</f>
        <v>PHe</v>
      </c>
      <c r="H44" s="480" t="n">
        <f aca="false">IF(A44="","x",IF(ISERROR(VLOOKUP($A44,'[1]liste reference'!$A$8:$P$904,14,0)),IF(ISERROR(VLOOKUP($A44,'[1]liste reference'!$B$8:$P$904,13,0)),"x",VLOOKUP($A44,'[1]liste reference'!$B$8:$P$904,13,0)),VLOOKUP($A44,'[1]liste reference'!$A$8:$P$904,14,0)))</f>
        <v>8</v>
      </c>
      <c r="I44" s="481" t="n">
        <f aca="false">IF(ISNUMBER(H44),IF(ISERROR(VLOOKUP($A44,'[1]liste reference'!$A$7:$P$904,3,0)),IF(ISERROR(VLOOKUP($A44,'[1]liste reference'!$B$7:$P$904,2,0)),"",VLOOKUP($A44,'[1]liste reference'!$B$7:$P$904,2,0)),VLOOKUP($A44,'[1]liste reference'!$A$7:$P$904,3,0)),"")</f>
        <v>8</v>
      </c>
      <c r="J44" s="481" t="n">
        <f aca="false">IF(ISNUMBER(H44),IF(ISERROR(VLOOKUP($A44,'[1]liste reference'!$A$7:$P$904,4,0)),IF(ISERROR(VLOOKUP($A44,'[1]liste reference'!$B$7:$P$904,3,0)),"",VLOOKUP($A44,'[1]liste reference'!$B$7:$P$904,3,0)),VLOOKUP($A44,'[1]liste reference'!$A$7:$P$904,4,0)),"")</f>
        <v>2</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Scirpus lacustris</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1520</v>
      </c>
      <c r="Q44" s="486" t="n">
        <f aca="false">IF(ISTEXT(H44),"",(B44*$B$7/100)+(C44*$C$7/100))</f>
        <v>0.0024</v>
      </c>
      <c r="R44" s="487" t="n">
        <f aca="false">IF(OR(ISTEXT(H44),Q44=0),"",IF(Q44&lt;0.1,1,IF(Q44&lt;1,2,IF(Q44&lt;10,3,IF(Q44&lt;50,4,IF(Q44&gt;=50,5,""))))))</f>
        <v>1</v>
      </c>
      <c r="S44" s="487" t="n">
        <f aca="false">IF(ISERROR(R44*I44),0,R44*I44)</f>
        <v>8</v>
      </c>
      <c r="T44" s="487" t="n">
        <f aca="false">IF(ISERROR(R44*I44*J44),0,R44*I44*J44)</f>
        <v>16</v>
      </c>
      <c r="U44" s="499" t="n">
        <f aca="false">IF(ISERROR(R44*J44),0,R44*J44)</f>
        <v>2</v>
      </c>
      <c r="V44" s="488" t="str">
        <f aca="false">IF(AND(A44="",F44=0),"",IF(F44=0,"Il manque le(s) % de rec. !",""))</f>
        <v/>
      </c>
      <c r="W44" s="489"/>
      <c r="Y44" s="490" t="str">
        <f aca="false">IF(A44="new.cod","NEWCOD",IF(AND((Z44=""),ISTEXT(A44)),A44,IF(Z44="","",INDEX('[1]liste reference'!$A$8:$A$904,Z44))))</f>
        <v>SCILAC</v>
      </c>
      <c r="Z44" s="280" t="n">
        <f aca="false">IF(ISERROR(MATCH(A44,'[1]liste reference'!$A$8:$A$904,0)),IF(ISERROR(MATCH(A44,'[1]liste reference'!$B$8:$B$904,0)),"",(MATCH(A44,'[1]liste reference'!$B$8:$B$904,0))),(MATCH(A44,'[1]liste reference'!$A$8:$A$904,0)))</f>
        <v>663</v>
      </c>
      <c r="AA44" s="491"/>
      <c r="AB44" s="492"/>
      <c r="AC44" s="492"/>
      <c r="BB44" s="280" t="n">
        <f aca="false">IF(A44="","",1)</f>
        <v>1</v>
      </c>
    </row>
    <row r="45" customFormat="false" ht="12.75" hidden="false" customHeight="false" outlineLevel="0" collapsed="false">
      <c r="A45" s="493" t="s">
        <v>2109</v>
      </c>
      <c r="B45" s="494"/>
      <c r="C45" s="495" t="n">
        <v>0.5</v>
      </c>
      <c r="D45" s="477" t="str">
        <f aca="false">IF(ISERROR(VLOOKUP($A45,'[1]liste reference'!$A$7:$D$904,2,0)),IF(ISERROR(VLOOKUP($A45,'[1]liste reference'!$B$7:$D$904,1,0)),"",VLOOKUP($A45,'[1]liste reference'!$B$7:$D$904,1,0)),VLOOKUP($A45,'[1]liste reference'!$A$7:$D$904,2,0))</f>
        <v>Veronica anagallis-aquatica</v>
      </c>
      <c r="E45" s="496" t="e">
        <f aca="false">IF(D45="",0,VLOOKUP(D45,D$22:D44,1,0))</f>
        <v>#N/A</v>
      </c>
      <c r="F45" s="501" t="n">
        <f aca="false">($B45*$B$7+$C45*$C$7)/100</f>
        <v>0.24</v>
      </c>
      <c r="G45" s="479" t="str">
        <f aca="false">IF(A45="","",IF(ISERROR(VLOOKUP($A45,'[1]liste reference'!$A$7:$P$904,13,0)),IF(ISERROR(VLOOKUP($A45,'[1]liste reference'!$B$7:$P$904,12,0)),"    -",VLOOKUP($A45,'[1]liste reference'!$B$7:$P$904,12,0)),VLOOKUP($A45,'[1]liste reference'!$A$7:$P$904,13,0)))</f>
        <v>PHe</v>
      </c>
      <c r="H45" s="480" t="n">
        <f aca="false">IF(A45="","x",IF(ISERROR(VLOOKUP($A45,'[1]liste reference'!$A$8:$P$904,14,0)),IF(ISERROR(VLOOKUP($A45,'[1]liste reference'!$B$8:$P$904,13,0)),"x",VLOOKUP($A45,'[1]liste reference'!$B$8:$P$904,13,0)),VLOOKUP($A45,'[1]liste reference'!$A$8:$P$904,14,0)))</f>
        <v>8</v>
      </c>
      <c r="I45" s="481" t="n">
        <f aca="false">IF(ISNUMBER(H45),IF(ISERROR(VLOOKUP($A45,'[1]liste reference'!$A$7:$P$904,3,0)),IF(ISERROR(VLOOKUP($A45,'[1]liste reference'!$B$7:$P$904,2,0)),"",VLOOKUP($A45,'[1]liste reference'!$B$7:$P$904,2,0)),VLOOKUP($A45,'[1]liste reference'!$A$7:$P$904,3,0)),"")</f>
        <v>11</v>
      </c>
      <c r="J45" s="481" t="n">
        <f aca="false">IF(ISNUMBER(H45),IF(ISERROR(VLOOKUP($A45,'[1]liste reference'!$A$7:$P$904,4,0)),IF(ISERROR(VLOOKUP($A45,'[1]liste reference'!$B$7:$P$904,3,0)),"",VLOOKUP($A45,'[1]liste reference'!$B$7:$P$904,3,0)),VLOOKUP($A45,'[1]liste reference'!$A$7:$P$904,4,0)),"")</f>
        <v>2</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Veronica anagallis-aquatica</v>
      </c>
      <c r="L45" s="498"/>
      <c r="M45" s="498"/>
      <c r="N45" s="498"/>
      <c r="O45" s="484"/>
      <c r="P45" s="485" t="n">
        <f aca="false">IF($A45="NEWCOD",IF($AC45="","No",$AC45),IF(ISTEXT($E45),"DEJA SAISI !",IF($A45="","",IF(ISERROR(VLOOKUP($A45,'[1]liste reference'!A$1:S$1048576,19,FALSE())),IF(ISERROR(VLOOKUP($A45,'[1]liste reference'!B$1:S$1048576,19,FALSE())),"",VLOOKUP($A45,'[1]liste reference'!B$1:S$1048576,19,FALSE())),VLOOKUP($A45,'[1]liste reference'!A$1:S$1048576,19,FALSE())))))</f>
        <v>1955</v>
      </c>
      <c r="Q45" s="486" t="n">
        <f aca="false">IF(ISTEXT(H45),"",(B45*$B$7/100)+(C45*$C$7/100))</f>
        <v>0.24</v>
      </c>
      <c r="R45" s="487" t="n">
        <f aca="false">IF(OR(ISTEXT(H45),Q45=0),"",IF(Q45&lt;0.1,1,IF(Q45&lt;1,2,IF(Q45&lt;10,3,IF(Q45&lt;50,4,IF(Q45&gt;=50,5,""))))))</f>
        <v>2</v>
      </c>
      <c r="S45" s="487" t="n">
        <f aca="false">IF(ISERROR(R45*I45),0,R45*I45)</f>
        <v>22</v>
      </c>
      <c r="T45" s="487" t="n">
        <f aca="false">IF(ISERROR(R45*I45*J45),0,R45*I45*J45)</f>
        <v>44</v>
      </c>
      <c r="U45" s="499" t="n">
        <f aca="false">IF(ISERROR(R45*J45),0,R45*J45)</f>
        <v>4</v>
      </c>
      <c r="V45" s="488" t="str">
        <f aca="false">IF(AND(A45="",F45=0),"",IF(F45=0,"Il manque le(s) % de rec. !",""))</f>
        <v/>
      </c>
      <c r="W45" s="489"/>
      <c r="Y45" s="490" t="str">
        <f aca="false">IF(A45="new.cod","NEWCOD",IF(AND((Z45=""),ISTEXT(A45)),A45,IF(Z45="","",INDEX('[1]liste reference'!$A$8:$A$904,Z45))))</f>
        <v>VERANA</v>
      </c>
      <c r="Z45" s="280" t="n">
        <f aca="false">IF(ISERROR(MATCH(A45,'[1]liste reference'!$A$8:$A$904,0)),IF(ISERROR(MATCH(A45,'[1]liste reference'!$B$8:$B$904,0)),"",(MATCH(A45,'[1]liste reference'!$B$8:$B$904,0))),(MATCH(A45,'[1]liste reference'!$A$8:$A$904,0)))</f>
        <v>682</v>
      </c>
      <c r="AA45" s="491"/>
      <c r="AB45" s="492"/>
      <c r="AC45" s="492"/>
      <c r="BB45" s="280" t="n">
        <f aca="false">IF(A45="","",1)</f>
        <v>1</v>
      </c>
    </row>
    <row r="46" customFormat="false" ht="12.75" hidden="false" customHeight="false" outlineLevel="0" collapsed="false">
      <c r="A46" s="493" t="s">
        <v>2686</v>
      </c>
      <c r="B46" s="494"/>
      <c r="C46" s="495" t="n">
        <v>0.005</v>
      </c>
      <c r="D46" s="477" t="str">
        <f aca="false">IF(ISERROR(VLOOKUP($A46,'[1]liste reference'!$A$7:$D$904,2,0)),IF(ISERROR(VLOOKUP($A46,'[1]liste reference'!$B$7:$D$904,1,0)),"",VLOOKUP($A46,'[1]liste reference'!$B$7:$D$904,1,0)),VLOOKUP($A46,'[1]liste reference'!$A$7:$D$904,2,0))</f>
        <v/>
      </c>
      <c r="E46" s="496" t="n">
        <f aca="false">IF(D46="",0,VLOOKUP(D46,D$22:D45,1,0))</f>
        <v>0</v>
      </c>
      <c r="F46" s="501" t="n">
        <f aca="false">($B46*$B$7+$C46*$C$7)/100</f>
        <v>0.0024</v>
      </c>
      <c r="G46" s="479" t="str">
        <f aca="false">IF(A46="","",IF(ISERROR(VLOOKUP($A46,'[1]liste reference'!$A$7:$P$904,13,0)),IF(ISERROR(VLOOKUP($A46,'[1]liste reference'!$B$7:$P$904,12,0)),"    -",VLOOKUP($A46,'[1]liste reference'!$B$7:$P$904,12,0)),VLOOKUP($A46,'[1]liste reference'!$A$7:$P$904,13,0)))</f>
        <v>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Alismacae</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NEWCOD</v>
      </c>
      <c r="Z46" s="280" t="str">
        <f aca="false">IF(ISERROR(MATCH(A46,'[1]liste reference'!$A$8:$A$904,0)),IF(ISERROR(MATCH(A46,'[1]liste reference'!$B$8:$B$904,0)),"",(MATCH(A46,'[1]liste reference'!$B$8:$B$904,0))),(MATCH(A46,'[1]liste reference'!$A$8:$A$904,0)))</f>
        <v/>
      </c>
      <c r="AA46" s="491"/>
      <c r="AB46" s="492" t="s">
        <v>2687</v>
      </c>
      <c r="AC46" s="492"/>
      <c r="BB46" s="280" t="n">
        <f aca="false">IF(A46="","",1)</f>
        <v>1</v>
      </c>
    </row>
    <row r="47" customFormat="false" ht="12.75"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1"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Auzon</v>
      </c>
      <c r="B84" s="529" t="str">
        <f aca="false">C3</f>
        <v>Rivières</v>
      </c>
      <c r="C84" s="530" t="n">
        <f aca="false">A4</f>
        <v>41456</v>
      </c>
      <c r="D84" s="531" t="n">
        <f aca="false">IF(ISERROR(SUM($T$23:$T$82)/SUM($U$23:$U$82)),"",SUM($T$23:$T$82)/SUM($U$23:$U$82))</f>
        <v>8.98</v>
      </c>
      <c r="E84" s="532" t="n">
        <f aca="false">N13</f>
        <v>24</v>
      </c>
      <c r="F84" s="529" t="n">
        <f aca="false">N14</f>
        <v>19</v>
      </c>
      <c r="G84" s="529" t="n">
        <f aca="false">N15</f>
        <v>9</v>
      </c>
      <c r="H84" s="529" t="n">
        <f aca="false">N16</f>
        <v>8</v>
      </c>
      <c r="I84" s="529" t="n">
        <f aca="false">N17</f>
        <v>2</v>
      </c>
      <c r="J84" s="533" t="n">
        <f aca="false">N8</f>
        <v>9.21052631578947</v>
      </c>
      <c r="K84" s="531" t="n">
        <f aca="false">N9</f>
        <v>3.00138472197542</v>
      </c>
      <c r="L84" s="532" t="n">
        <f aca="false">N10</f>
        <v>4</v>
      </c>
      <c r="M84" s="532" t="n">
        <f aca="false">N11</f>
        <v>15</v>
      </c>
      <c r="N84" s="531" t="n">
        <f aca="false">O8</f>
        <v>1.63157894736842</v>
      </c>
      <c r="O84" s="531" t="n">
        <f aca="false">O9</f>
        <v>0.665742665298606</v>
      </c>
      <c r="P84" s="532" t="n">
        <f aca="false">O10</f>
        <v>1</v>
      </c>
      <c r="Q84" s="532" t="n">
        <f aca="false">O11</f>
        <v>3</v>
      </c>
      <c r="R84" s="532" t="n">
        <f aca="false">F21</f>
        <v>7.651</v>
      </c>
      <c r="S84" s="532" t="n">
        <f aca="false">K11</f>
        <v>0</v>
      </c>
      <c r="T84" s="532" t="n">
        <f aca="false">K12</f>
        <v>5</v>
      </c>
      <c r="U84" s="532" t="n">
        <f aca="false">K13</f>
        <v>6</v>
      </c>
      <c r="V84" s="534" t="n">
        <f aca="false">K14</f>
        <v>1</v>
      </c>
      <c r="W84" s="535" t="n">
        <f aca="false">K15</f>
        <v>11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39</v>
      </c>
      <c r="T87" s="280"/>
      <c r="U87" s="280"/>
      <c r="V87" s="280"/>
    </row>
    <row r="88" customFormat="false" ht="12.75" hidden="true" customHeight="false" outlineLevel="0" collapsed="false">
      <c r="P88" s="280"/>
      <c r="Q88" s="280" t="s">
        <v>2691</v>
      </c>
      <c r="R88" s="280"/>
      <c r="S88" s="488" t="n">
        <f aca="false">VLOOKUP((S87),($S$23:$U$82),2,0)</f>
        <v>78</v>
      </c>
      <c r="T88" s="280"/>
      <c r="U88" s="280"/>
      <c r="V88" s="280"/>
    </row>
    <row r="89" customFormat="false" ht="12.75" hidden="true" customHeight="false" outlineLevel="0" collapsed="false">
      <c r="Q89" s="280" t="s">
        <v>2692</v>
      </c>
      <c r="R89" s="280"/>
      <c r="S89" s="488" t="n">
        <f aca="false">VLOOKUP((S87),($S$23:$U$82),3,0)</f>
        <v>6</v>
      </c>
      <c r="T89" s="280"/>
    </row>
    <row r="90" customFormat="false" ht="12.75" hidden="false" customHeight="false" outlineLevel="0" collapsed="false">
      <c r="Q90" s="280" t="s">
        <v>2693</v>
      </c>
      <c r="R90" s="280"/>
      <c r="S90" s="538" t="n">
        <f aca="false">IF(ISERROR(SUM($T$23:$T$82)/SUM($U$23:$U$82)),"",(SUM($T$23:$T$82)-S88)/(SUM($U$23:$U$82)-S89))</f>
        <v>8.43181818181818</v>
      </c>
      <c r="T90" s="280"/>
    </row>
    <row r="91" customFormat="false" ht="12.75" hidden="false" customHeight="false" outlineLevel="0" collapsed="false">
      <c r="Q91" s="487" t="s">
        <v>2694</v>
      </c>
      <c r="R91" s="487"/>
      <c r="S91" s="487" t="str">
        <f aca="false">INDEX('[1]liste reference'!$A$8:$A$904,$T$91)</f>
        <v>CINRIP</v>
      </c>
      <c r="T91" s="280" t="n">
        <f aca="false">IF(ISERROR(MATCH($S$93,'[1]liste reference'!$A$8:$A$904,0)),MATCH($S$93,'[1]liste reference'!$B$8:$B$904,0),(MATCH($S$93,'[1]liste reference'!$A$8:$A$904,0)))</f>
        <v>174</v>
      </c>
      <c r="U91" s="527"/>
    </row>
    <row r="92" customFormat="false" ht="12.75" hidden="false" customHeight="false" outlineLevel="0" collapsed="false">
      <c r="Q92" s="280" t="s">
        <v>2695</v>
      </c>
      <c r="R92" s="280"/>
      <c r="S92" s="280" t="n">
        <f aca="false">MATCH(S87,$S$23:$S$82,0)</f>
        <v>7</v>
      </c>
      <c r="T92" s="280"/>
    </row>
    <row r="93" customFormat="false" ht="12.75" hidden="false" customHeight="false" outlineLevel="0" collapsed="false">
      <c r="Q93" s="487" t="s">
        <v>2696</v>
      </c>
      <c r="R93" s="280"/>
      <c r="S93" s="487" t="str">
        <f aca="false">INDEX($A$23:$A$82,$S$92)</f>
        <v>CINRIP</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2715</v>
      </c>
      <c r="G23" s="577"/>
      <c r="H23" s="576" t="s">
        <v>2715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2720</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2013-01-10T22:36:43Z</cp:lastPrinted>
  <dcterms:modified xsi:type="dcterms:W3CDTF">2014-04-07T10:02:13Z</dcterms:modified>
  <cp:revision>0</cp:revision>
  <dc:subject/>
  <dc:title>Feuille d'aide au calcul de l'IBMR</dc:title>
</cp:coreProperties>
</file>