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Sorgue à fontaine de V." sheetId="7" state="visible" r:id="rId9"/>
    <sheet name="modele" sheetId="8" state="hidden" r:id="rId10"/>
    <sheet name="liste codes réf" sheetId="9" state="hidden" r:id="rId11"/>
  </sheets>
  <definedNames>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6" name="_xlnm.Print_Area" vbProcedure="false">'Sorgue à fontaine de V.'!$A$1:$O$82</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'Sorgue à fontaine de V.'!$A$23:$J$84</definedName>
    <definedName function="false" hidden="false" localSheetId="6" name="NOM" vbProcedure="false">'Sorgue à fontaine de V.'!$H$1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<sst xmlns="http://schemas.openxmlformats.org/spreadsheetml/2006/main" count="7498" uniqueCount="2752">
  <si>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</si>
  <si>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</si>
  <si>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</si>
  <si>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</si>
  <si>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</si>
  <si>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</si>
  <si>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</si>
  <si>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</si>
  <si>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</si>
  <si>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</si>
  <si>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</si>
  <si>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</si>
  <si>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</si>
  <si>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</si>
  <si>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</si>
  <si>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</si>
  <si>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</si>
  <si>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</si>
  <si>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</si>
  <si>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</si>
  <si>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</si>
  <si>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</si>
  <si>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</si>
  <si>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</si>
  <si>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</si>
  <si>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</si>
  <si>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</si>
  <si>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</si>
  <si>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</si>
  <si>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</si>
  <si>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</si>
  <si>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</si>
  <si>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</si>
  <si>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</si>
  <si>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</si>
  <si>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</si>
  <si>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</si>
  <si>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</si>
  <si>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</si>
  <si>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</si>
  <si>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</si>
  <si>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</si>
  <si>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</si>
  <si>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</si>
  <si>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</si>
  <si>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</si>
  <si>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</si>
  <si>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</si>
  <si>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</si>
  <si>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</si>
  <si>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</si>
  <si>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</si>
  <si>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</si>
  <si>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</si>
  <si>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</si>
  <si>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</si>
  <si>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</si>
  <si>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</si>
  <si>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</si>
  <si>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</si>
  <si>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</si>
  <si>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</si>
  <si>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</si>
  <si>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</si>
  <si>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</si>
  <si>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</si>
  <si>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</si>
  <si>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</si>
  <si>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</si>
  <si>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</si>
  <si>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</si>
  <si>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</si>
  <si>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</si>
  <si>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</si>
  <si>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</si>
  <si>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</si>
  <si>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</si>
  <si>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</si>
  <si>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</si>
  <si>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</si>
  <si>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</si>
  <si>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</si>
  <si>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</si>
  <si>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</si>
  <si>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</si>
  <si>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</si>
  <si>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</si>
  <si>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</si>
  <si>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</si>
  <si>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</si>
  <si>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</si>
  <si>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</si>
  <si>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</si>
  <si>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</si>
  <si>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</si>
  <si>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</si>
  <si>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</si>
  <si>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</si>
  <si>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</si>
  <si>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</si>
  <si>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</si>
  <si>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</si>
  <si>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</si>
  <si>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</si>
  <si>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</si>
  <si>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</si>
  <si>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</si>
  <si>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</si>
  <si>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</si>
  <si>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</si>
  <si>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</si>
  <si>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</si>
  <si>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</si>
  <si>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</si>
  <si>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</si>
  <si>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</si>
  <si>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</si>
  <si>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</si>
  <si>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</si>
  <si>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</si>
  <si>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</si>
  <si>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</si>
  <si>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</si>
  <si>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</si>
  <si>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</si>
  <si>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</si>
  <si>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</si>
  <si>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</si>
  <si>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</si>
  <si>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</si>
  <si>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</si>
  <si>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</si>
  <si>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</si>
  <si>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</si>
  <si>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</si>
  <si>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</si>
  <si>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</si>
  <si>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</si>
  <si>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</si>
  <si>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</si>
  <si>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</si>
  <si>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</si>
  <si>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</si>
  <si>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</si>
  <si>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</si>
  <si>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</si>
  <si>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</si>
  <si>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</si>
  <si>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</si>
  <si>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</si>
  <si>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</si>
  <si>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</si>
  <si>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</si>
  <si>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</si>
  <si>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</si>
  <si>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</si>
  <si>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</si>
  <si>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</si>
  <si>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</si>
  <si>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</si>
  <si>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</si>
  <si>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</si>
  <si>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</si>
  <si>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</si>
  <si>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</si>
  <si>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</si>
  <si>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</si>
  <si>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</si>
  <si>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</si>
  <si>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</si>
  <si>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</si>
  <si>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</si>
  <si>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</si>
  <si>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</si>
  <si>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</si>
  <si>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</si>
  <si>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</si>
  <si>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</si>
  <si>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</si>
  <si>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</si>
  <si>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</si>
  <si>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</si>
  <si>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</si>
  <si>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</si>
  <si>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</si>
  <si>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</si>
  <si>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</si>
  <si>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</si>
  <si>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</si>
  <si>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</si>
  <si>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</si>
  <si>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</si>
  <si>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</si>
  <si>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</si>
  <si>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</si>
  <si>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</si>
  <si>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</si>
  <si>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</si>
  <si>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</si>
  <si>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</si>
  <si>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</si>
  <si>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</si>
  <si>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</si>
  <si>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</si>
  <si>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</si>
  <si>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</si>
  <si>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</si>
  <si>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</si>
  <si>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</si>
  <si>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</si>
  <si>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</si>
  <si>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</si>
  <si>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</si>
  <si>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</si>
  <si>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</si>
  <si>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</si>
  <si>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</si>
  <si>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</si>
  <si>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</si>
  <si>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</si>
  <si>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</si>
  <si>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</si>
  <si>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</si>
  <si>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</si>
  <si>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</si>
  <si>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</si>
  <si>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</si>
  <si>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</si>
  <si>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</si>
  <si>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</si>
  <si>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</si>
  <si>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</si>
  <si>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</si>
  <si>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</si>
  <si>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</si>
  <si>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</si>
  <si>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</si>
  <si>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</si>
  <si>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</si>
  <si>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</si>
  <si>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</si>
  <si>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</si>
  <si>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</si>
  <si>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</si>
  <si>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</si>
  <si>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</si>
  <si>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</si>
  <si>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</si>
  <si>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</si>
  <si>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</si>
  <si>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</si>
  <si>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</si>
  <si>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</si>
  <si>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</si>
  <si>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</si>
  <si>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</si>
  <si>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</si>
  <si>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</si>
  <si>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</si>
  <si>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</si>
  <si>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</si>
  <si>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</si>
  <si>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</si>
  <si>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</si>
  <si>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</si>
  <si>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</si>
  <si>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</si>
  <si>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</si>
  <si>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</si>
  <si>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</si>
  <si>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</si>
  <si>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</si>
  <si>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</si>
  <si>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</si>
  <si>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</si>
  <si>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</si>
  <si>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</si>
  <si>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</si>
  <si>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</si>
  <si>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</si>
  <si>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</si>
  <si>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</si>
  <si>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</si>
  <si>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</si>
  <si>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</si>
  <si>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</si>
  <si>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</si>
  <si>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</si>
  <si>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</si>
  <si>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</si>
  <si>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</si>
  <si>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</si>
  <si>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</si>
  <si>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</si>
  <si>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</si>
  <si>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</si>
  <si>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</si>
  <si>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</si>
  <si>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</si>
  <si>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</si>
  <si>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</si>
  <si>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</si>
  <si>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</si>
  <si>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</si>
  <si>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</si>
  <si>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</si>
  <si>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</si>
  <si>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</si>
  <si>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</si>
  <si>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</si>
  <si>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</si>
  <si>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</si>
  <si>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</si>
  <si>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</si>
  <si>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</si>
  <si>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</si>
  <si>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</si>
  <si>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</si>
  <si>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</si>
  <si>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</si>
  <si>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</si>
  <si>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</si>
  <si>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</si>
  <si>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</si>
  <si>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</si>
  <si>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</si>
  <si>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</si>
  <si>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</si>
  <si>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</si>
  <si>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</si>
  <si>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</si>
  <si>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</si>
  <si>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</si>
  <si>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</si>
  <si>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</si>
  <si>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</si>
  <si>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</si>
  <si>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</si>
  <si>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</si>
  <si>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</si>
  <si>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</si>
  <si>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</si>
  <si>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</si>
  <si>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</si>
  <si>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</si>
  <si>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</si>
  <si>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</si>
  <si>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</si>
  <si>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</si>
  <si>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</si>
  <si>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</si>
  <si>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</si>
  <si>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</si>
  <si>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</si>
  <si>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</si>
  <si>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</si>
  <si>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</si>
  <si>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</si>
  <si>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</si>
  <si>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</si>
  <si>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</si>
  <si>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</si>
  <si>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</si>
  <si>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</si>
  <si>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</si>
  <si>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</si>
  <si>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</si>
  <si>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</si>
  <si>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</si>
  <si>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</si>
  <si>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</si>
  <si>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</si>
  <si>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</si>
  <si>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</si>
  <si>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</si>
  <si>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</si>
  <si>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</si>
  <si>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</si>
  <si>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</si>
  <si>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</si>
  <si>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</si>
  <si>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</si>
  <si>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</si>
  <si>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</si>
  <si>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</si>
  <si>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</si>
  <si>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</si>
  <si>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</si>
  <si>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</si>
  <si>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</si>
  <si>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</si>
  <si>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</si>
  <si>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</si>
  <si>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</si>
  <si>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</si>
  <si>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</si>
  <si>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</si>
  <si>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</si>
  <si>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</si>
  <si>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</si>
  <si>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</si>
  <si>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</si>
  <si>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</si>
  <si>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</si>
  <si>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</si>
  <si>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</si>
  <si>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</si>
  <si>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</si>
  <si>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</si>
  <si>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</si>
  <si>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</si>
  <si>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</si>
  <si>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</si>
  <si>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</si>
  <si>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</si>
  <si>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</si>
  <si>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</si>
  <si>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</si>
  <si>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</si>
  <si>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</si>
  <si>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</si>
  <si>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</si>
  <si>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</si>
  <si>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</si>
  <si>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</si>
  <si>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</si>
  <si>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</si>
  <si>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</si>
  <si>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</si>
  <si>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</si>
  <si>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</si>
  <si>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</si>
  <si>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</si>
  <si>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</si>
  <si>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</si>
  <si>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</si>
  <si>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</si>
  <si>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</si>
  <si>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</si>
  <si>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</si>
  <si>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</si>
  <si>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</si>
  <si>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</si>
  <si>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</si>
  <si>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</si>
  <si>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</si>
  <si>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</si>
  <si>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</si>
  <si>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</si>
  <si>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</si>
  <si>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</si>
  <si>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</si>
  <si>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</si>
  <si>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</si>
  <si>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</si>
  <si>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</si>
  <si>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</si>
  <si>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</si>
  <si>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</si>
  <si>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</si>
  <si>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</si>
  <si>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</si>
  <si>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</si>
  <si>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</si>
  <si>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</si>
  <si>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</si>
  <si>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</si>
  <si>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</si>
  <si>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</si>
  <si>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</si>
  <si>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</si>
  <si>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</si>
  <si>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</si>
  <si>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</si>
  <si>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</si>
  <si>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</si>
  <si>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</si>
  <si>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</si>
  <si>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</si>
  <si>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</si>
  <si>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</si>
  <si>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</si>
  <si>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</si>
  <si>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</si>
  <si>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</si>
  <si>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</si>
  <si>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</si>
  <si>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</si>
  <si>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</si>
  <si>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</si>
  <si>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</si>
  <si>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</si>
  <si>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</si>
  <si>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</si>
  <si>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</si>
  <si>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</si>
  <si>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</si>
  <si>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</si>
  <si>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</si>
  <si>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</si>
  <si>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</si>
  <si>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</si>
  <si>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</si>
  <si>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</si>
  <si>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</si>
  <si>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</si>
  <si>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</si>
  <si>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</si>
  <si>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</si>
  <si>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</si>
  <si>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</si>
  <si>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</si>
  <si>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</si>
  <si>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</si>
  <si>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</si>
  <si>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</si>
  <si>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</si>
  <si>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</si>
  <si>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</si>
  <si>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</si>
  <si>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</si>
  <si>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</si>
  <si>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</si>
  <si>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</si>
  <si>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</si>
  <si>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</si>
  <si>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</si>
  <si>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</si>
  <si>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</si>
  <si>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</si>
  <si>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</si>
  <si>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</si>
  <si>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</si>
  <si>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</si>
  <si>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</si>
  <si>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</si>
  <si>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</si>
  <si>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</si>
  <si>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</si>
  <si>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</si>
  <si>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</si>
  <si>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</si>
  <si>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</si>
  <si>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</si>
  <si>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</si>
  <si>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</si>
  <si>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</si>
  <si>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</si>
  <si>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</si>
  <si>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</si>
  <si>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</si>
  <si>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</si>
  <si>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</si>
  <si>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</si>
  <si>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</si>
  <si>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</si>
  <si>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</si>
  <si>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</si>
  <si>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</si>
  <si>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</si>
  <si>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</si>
  <si>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</si>
  <si>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</si>
  <si>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</si>
  <si>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</si>
  <si>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</si>
  <si>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</si>
  <si>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</si>
  <si>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</si>
  <si>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</si>
  <si>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</si>
  <si>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</si>
  <si>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</si>
  <si>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</si>
  <si>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</si>
  <si>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</si>
  <si>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</si>
  <si>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</si>
  <si>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</si>
  <si>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</si>
  <si>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</si>
  <si>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</si>
  <si>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</si>
  <si>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</si>
  <si>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</si>
  <si>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</si>
  <si>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</si>
  <si>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</si>
  <si>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</si>
  <si>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</si>
  <si>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</si>
  <si>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</si>
  <si>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</si>
  <si>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</si>
  <si>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</si>
  <si>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</si>
  <si>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</si>
  <si>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</si>
  <si>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</si>
  <si>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</si>
  <si>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</si>
  <si>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</si>
  <si>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</si>
  <si>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</si>
  <si>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</si>
  <si>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</si>
  <si>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</si>
  <si>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</si>
  <si>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</si>
  <si>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</si>
  <si>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</si>
  <si>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</si>
  <si>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</si>
  <si>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</si>
  <si>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</si>
  <si>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</si>
  <si>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</si>
  <si>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</si>
  <si>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</si>
  <si>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</si>
  <si>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</si>
  <si>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</si>
  <si>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</si>
  <si>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</si>
  <si>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</si>
  <si>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</si>
  <si>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</si>
  <si>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</si>
  <si>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</si>
  <si>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</si>
  <si>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</si>
  <si>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</si>
  <si>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</si>
  <si>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</si>
  <si>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</si>
  <si>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</si>
  <si>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</si>
  <si>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</si>
  <si>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</si>
  <si>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</si>
  <si>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</si>
  <si>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</si>
  <si>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</si>
  <si>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</si>
  <si>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</si>
  <si>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</si>
  <si>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</si>
  <si>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</si>
  <si>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</si>
  <si>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</si>
  <si>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</si>
  <si>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</si>
  <si>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</si>
  <si>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</si>
  <si>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</si>
  <si>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</si>
  <si>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</si>
  <si>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</si>
  <si>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</si>
  <si>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</si>
  <si>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</si>
  <si>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</si>
  <si>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</si>
  <si>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</si>
  <si>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</si>
  <si>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</si>
  <si>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</si>
  <si>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</si>
  <si>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</si>
  <si>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</si>
  <si>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</si>
  <si>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</si>
  <si>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</si>
  <si>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</si>
  <si>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</si>
  <si>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</si>
  <si>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</si>
  <si>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</si>
  <si>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</si>
  <si>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</si>
  <si>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</si>
  <si>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</si>
  <si>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</si>
  <si>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</si>
  <si>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</si>
  <si>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</si>
  <si>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</si>
  <si>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</si>
  <si>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</si>
  <si>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</si>
  <si>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</si>
  <si>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</si>
  <si>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</si>
  <si>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</si>
  <si>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</si>
  <si>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</si>
  <si>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</si>
  <si>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</si>
  <si>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</si>
  <si>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</si>
  <si>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</si>
  <si>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</si>
  <si>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</si>
  <si>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</si>
  <si>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</si>
  <si>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</si>
  <si>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</si>
  <si>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</si>
  <si>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</si>
  <si>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</si>
  <si>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</si>
  <si>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</si>
  <si>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</si>
  <si>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</si>
  <si>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</si>
  <si>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</si>
  <si>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</si>
  <si>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</si>
  <si>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</si>
  <si>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</si>
  <si>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</si>
  <si>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</si>
  <si>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</si>
  <si>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</si>
  <si>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</si>
  <si>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</si>
  <si>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</si>
  <si>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</si>
  <si>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</si>
  <si>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</si>
  <si>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</si>
  <si>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</si>
  <si>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</si>
  <si>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</si>
  <si>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</si>
  <si>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</si>
  <si>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</si>
  <si>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</si>
  <si>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</si>
  <si>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</si>
  <si>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</si>
  <si>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</si>
  <si>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</si>
  <si>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</si>
  <si>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</si>
  <si>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</si>
  <si>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</si>
  <si>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</si>
  <si>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</si>
  <si>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</si>
  <si>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</si>
  <si>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</si>
  <si>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</si>
  <si>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</si>
  <si>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</si>
  <si>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</si>
  <si>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</si>
  <si>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</si>
  <si>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</si>
  <si>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</si>
  <si>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</si>
  <si>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</si>
  <si>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</si>
  <si>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</si>
  <si>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</si>
  <si>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</si>
  <si>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</si>
  <si>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</si>
  <si>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</si>
  <si>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</si>
  <si>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</si>
  <si>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</si>
  <si>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</si>
  <si>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</si>
  <si>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</si>
  <si>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</si>
  <si>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</si>
  <si>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</si>
  <si>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</si>
  <si>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</si>
  <si>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</si>
  <si>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</si>
  <si>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</si>
  <si>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</si>
  <si>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</si>
  <si>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</si>
  <si>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</si>
  <si>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</si>
  <si>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</si>
  <si>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</si>
  <si>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</si>
  <si>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</si>
  <si>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</si>
  <si>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</si>
  <si>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</si>
  <si>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</si>
  <si>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</si>
  <si>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</si>
  <si>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</si>
  <si>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</si>
  <si>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</si>
  <si>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</si>
  <si>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</si>
  <si>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</si>
  <si>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</si>
  <si>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</si>
  <si>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</si>
  <si>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</si>
  <si>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</si>
  <si>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</si>
  <si>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</si>
  <si>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</si>
  <si>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</si>
  <si>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</si>
  <si>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</si>
  <si>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</si>
  <si>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</si>
  <si>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</si>
  <si>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</si>
  <si>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</si>
  <si>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</si>
  <si>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</si>
  <si>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</si>
  <si>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</si>
  <si>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</si>
  <si>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</si>
  <si>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</si>
  <si>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</si>
  <si>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</si>
  <si>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</si>
  <si>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</si>
  <si>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</si>
  <si>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</si>
  <si>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</si>
  <si>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</si>
  <si>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</si>
  <si>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</si>
  <si>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</si>
  <si>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</si>
  <si>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</si>
  <si>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</si>
  <si>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</si>
  <si>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</si>
  <si>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</si>
  <si>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</si>
  <si>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</si>
  <si>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</si>
  <si>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</si>
  <si>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</si>
  <si>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</si>
  <si>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</si>
  <si>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</si>
  <si>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</si>
  <si>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</si>
  <si>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</si>
  <si>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</si>
  <si>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</si>
  <si>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</si>
  <si>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</si>
  <si>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</si>
  <si>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</si>
  <si>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</si>
  <si>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</si>
  <si>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</si>
  <si>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</si>
  <si>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</si>
  <si>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</si>
  <si>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</si>
  <si>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</si>
  <si>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</si>
  <si>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</si>
  <si>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</si>
  <si>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</si>
  <si>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</si>
  <si>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</si>
  <si>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</si>
  <si>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</si>
  <si>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</si>
  <si>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</si>
  <si>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</si>
  <si>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</si>
  <si>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</si>
  <si>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</si>
  <si>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</si>
  <si>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</si>
  <si>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</si>
  <si>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</si>
  <si>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</si>
  <si>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</si>
  <si>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</si>
  <si>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</si>
  <si>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</si>
  <si>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</si>
  <si>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</si>
  <si>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</si>
  <si>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</si>
  <si>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</si>
  <si>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</si>
  <si>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</si>
  <si>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</si>
  <si>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</si>
  <si>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</si>
  <si>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</si>
  <si>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</si>
  <si>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</si>
  <si>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</si>
  <si>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</si>
  <si>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</si>
  <si>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</si>
  <si>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</si>
  <si>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</si>
  <si>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</si>
  <si>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</si>
  <si>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</si>
  <si>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</si>
  <si>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</si>
  <si>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</si>
  <si>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</si>
  <si>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</si>
  <si>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</si>
  <si>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</si>
  <si>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</si>
  <si>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</si>
  <si>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</si>
  <si>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</si>
  <si>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</si>
  <si>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</si>
  <si>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</si>
  <si>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</si>
  <si>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</si>
  <si>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</si>
  <si>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</si>
  <si>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</si>
  <si>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</si>
  <si>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</si>
  <si>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</si>
  <si>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</si>
  <si>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</si>
  <si>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</si>
  <si>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</si>
  <si>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</si>
  <si>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</si>
  <si>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</si>
  <si>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</si>
  <si>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</si>
  <si>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</si>
  <si>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</si>
  <si>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</si>
  <si>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</si>
  <si>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</si>
  <si>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</si>
  <si>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</si>
  <si>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</si>
  <si>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</si>
  <si>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</si>
  <si>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</si>
  <si>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</si>
  <si>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</si>
  <si>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</si>
  <si>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</si>
  <si>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</si>
  <si>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</si>
  <si>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</si>
  <si>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</si>
  <si>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</si>
  <si>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</si>
  <si>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</si>
  <si>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</si>
  <si>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</si>
  <si>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</si>
  <si>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</si>
  <si>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</si>
  <si>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</si>
  <si>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</si>
  <si>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</si>
  <si>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</si>
  <si>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</si>
  <si>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</si>
  <si>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</si>
  <si>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</si>
  <si>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</si>
  <si>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</si>
  <si>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</si>
  <si>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</si>
  <si>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</si>
  <si>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</si>
  <si>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</si>
  <si>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</si>
  <si>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</si>
  <si>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</si>
  <si>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</si>
  <si>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</si>
  <si>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</si>
  <si>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</si>
  <si>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</si>
  <si>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</si>
  <si>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</si>
  <si>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</si>
  <si>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</si>
  <si>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</si>
  <si>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</si>
  <si>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</si>
  <si>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</si>
  <si>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</si>
  <si>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</si>
  <si>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</si>
  <si>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</si>
  <si>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</si>
  <si>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</si>
  <si>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</si>
  <si>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</si>
  <si>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</si>
  <si>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</si>
  <si>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</si>
  <si>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</si>
  <si>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</si>
  <si>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</si>
  <si>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</si>
  <si>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</si>
  <si>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</si>
  <si>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</si>
  <si>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</si>
  <si>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</si>
  <si>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</si>
  <si>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</si>
  <si>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</si>
  <si>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</si>
  <si>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</si>
  <si>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</si>
  <si>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</si>
  <si>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</si>
  <si>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</si>
  <si>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</si>
  <si>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</si>
  <si>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</si>
  <si>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</si>
  <si>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</si>
  <si>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</si>
  <si>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</si>
  <si>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</si>
  <si>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</si>
  <si>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</si>
  <si>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</si>
  <si>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</si>
  <si>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</si>
  <si>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</si>
  <si>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</si>
  <si>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</si>
  <si>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</si>
  <si>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</si>
  <si>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</si>
  <si>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</si>
  <si>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</si>
  <si>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</si>
  <si>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</si>
  <si>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</si>
  <si>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</si>
  <si>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</si>
  <si>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</si>
  <si>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</si>
  <si>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</si>
  <si>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</si>
  <si>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</si>
  <si>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</si>
  <si>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</si>
  <si>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</si>
  <si>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</si>
  <si>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</si>
  <si>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</si>
  <si>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</si>
  <si>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</si>
  <si>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</si>
  <si>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</si>
  <si>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</si>
  <si>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</si>
  <si>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</si>
  <si>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</si>
  <si>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</si>
  <si>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</si>
  <si>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</si>
  <si>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</si>
  <si>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</si>
  <si>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</si>
  <si>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</si>
  <si>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</si>
  <si>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</si>
  <si>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</si>
  <si>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</si>
  <si>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</si>
  <si>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</si>
  <si>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</si>
  <si>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</si>
  <si>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</si>
  <si>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</si>
  <si>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</si>
  <si>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</si>
  <si>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</si>
  <si>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</si>
  <si>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</si>
  <si>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</si>
  <si>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</si>
  <si>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</si>
  <si>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</si>
  <si>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</si>
  <si>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</si>
  <si>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</si>
  <si>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</si>
  <si>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</si>
  <si>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</si>
  <si>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</si>
  <si>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</si>
  <si>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</si>
  <si>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</si>
  <si>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</si>
  <si>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</si>
  <si>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</si>
  <si>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</si>
  <si>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</si>
  <si>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</si>
  <si>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</si>
  <si>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</si>
  <si>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</si>
  <si>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</si>
  <si>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</si>
  <si>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</si>
  <si>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</si>
  <si>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</si>
  <si>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</si>
  <si>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</si>
  <si>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</si>
  <si>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</si>
  <si>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</si>
  <si>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</si>
  <si>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</si>
  <si>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</si>
  <si>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</si>
  <si>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</si>
  <si>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</si>
  <si>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</si>
  <si>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</si>
  <si>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</si>
  <si>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</si>
  <si>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</si>
  <si>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</si>
  <si>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</si>
  <si>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</si>
  <si>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</si>
  <si>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</si>
  <si>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</si>
  <si>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</si>
  <si>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</si>
  <si>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</si>
  <si>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</si>
  <si>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</si>
  <si>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</si>
  <si>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</si>
  <si>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</si>
  <si>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</si>
  <si>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</si>
  <si>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</si>
  <si>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</si>
  <si>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</si>
  <si>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</si>
  <si>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</si>
  <si>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</si>
  <si>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</si>
  <si>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</si>
  <si>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</si>
  <si>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</si>
  <si>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</si>
  <si>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</si>
  <si>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</si>
  <si>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</si>
  <si>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</si>
  <si>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</si>
  <si>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</si>
  <si>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</si>
  <si>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</si>
  <si>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</si>
  <si>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</si>
  <si>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</si>
  <si>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</si>
  <si>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</si>
  <si>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</si>
  <si>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</si>
  <si>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</si>
  <si>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</si>
  <si>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</si>
  <si>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</si>
  <si>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</si>
  <si>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</si>
  <si>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</si>
  <si>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</si>
  <si>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</si>
  <si>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</si>
  <si>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</si>
  <si>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</si>
  <si>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</si>
  <si>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</si>
  <si>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</si>
  <si>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</si>
  <si>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</si>
  <si>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</si>
  <si>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</si>
  <si>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</si>
  <si>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</si>
  <si>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</si>
  <si>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</si>
  <si>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</si>
  <si>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</si>
  <si>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</si>
  <si>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</si>
  <si>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</si>
  <si>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</si>
  <si>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</si>
  <si>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</si>
  <si>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</si>
  <si>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</si>
  <si>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</si>
  <si>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</si>
  <si>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</si>
  <si>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</si>
  <si>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</si>
  <si>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</si>
  <si>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</si>
  <si>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</si>
  <si>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</si>
  <si>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</si>
  <si>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</si>
  <si>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</si>
  <si>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</si>
  <si>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</si>
  <si>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</si>
  <si>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</si>
  <si>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</si>
  <si>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</si>
  <si>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</si>
  <si>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</si>
  <si>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</si>
  <si>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</si>
  <si>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</si>
  <si>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</si>
  <si>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</si>
  <si>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</si>
  <si>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</si>
  <si>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</si>
  <si>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</si>
  <si>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</si>
  <si>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</si>
  <si>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</si>
  <si>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</si>
  <si>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</si>
  <si>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</si>
  <si>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</si>
  <si>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</si>
  <si>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</si>
  <si>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</si>
  <si>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</si>
  <si>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</si>
  <si>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</si>
  <si>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</si>
  <si>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</si>
  <si>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</si>
  <si>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</si>
  <si>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</si>
  <si>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</si>
  <si>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</si>
  <si>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</si>
  <si>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</si>
  <si>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</si>
  <si>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</si>
  <si>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</si>
  <si>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</si>
  <si>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</si>
  <si>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</si>
  <si>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</si>
  <si>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</si>
  <si>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</si>
  <si>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</si>
  <si>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</si>
  <si>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</si>
  <si>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</si>
  <si>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</si>
  <si>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</si>
  <si>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</si>
  <si>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</si>
  <si>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</si>
  <si>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</si>
  <si>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</si>
  <si>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</si>
  <si>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</si>
  <si>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</si>
  <si>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</si>
  <si>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</si>
  <si>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</si>
  <si>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</si>
  <si>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</si>
  <si>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</si>
  <si>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</si>
  <si>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</si>
  <si>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</si>
  <si>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</si>
  <si>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</si>
  <si>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</si>
  <si>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</si>
  <si>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</si>
  <si>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</si>
  <si>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</si>
  <si>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</si>
  <si>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</si>
  <si>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</si>
  <si>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</si>
  <si>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</si>
  <si>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</si>
  <si>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</si>
  <si>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</si>
  <si>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</si>
  <si>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</si>
  <si>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</si>
  <si>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</si>
  <si>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</si>
  <si>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</si>
  <si>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</si>
  <si>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</si>
  <si>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</si>
  <si>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</si>
  <si>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</si>
  <si>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</si>
  <si>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</si>
  <si>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</si>
  <si>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</si>
  <si>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</si>
  <si>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</si>
  <si>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</si>
  <si>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</si>
  <si>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</si>
  <si>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</si>
  <si>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</si>
  <si>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</si>
  <si>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</si>
  <si>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</si>
  <si>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</si>
  <si>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</si>
  <si>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</si>
  <si>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</si>
  <si>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</si>
  <si>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</si>
  <si>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</si>
  <si>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</si>
  <si>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</si>
  <si>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</si>
  <si>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</si>
  <si>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</si>
  <si>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</si>
  <si>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</si>
  <si>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</si>
  <si>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</si>
  <si>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</si>
  <si>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</si>
  <si>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</si>
  <si>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</si>
  <si>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</si>
  <si>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</si>
  <si>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</si>
  <si>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</si>
  <si>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</si>
  <si>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</si>
  <si>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</si>
  <si>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</si>
  <si>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</si>
  <si>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</si>
  <si>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</si>
  <si>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</si>
  <si>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</si>
  <si>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</si>
  <si>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</si>
  <si>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</si>
  <si>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</si>
  <si>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</si>
  <si>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</si>
  <si>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</si>
  <si>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</si>
  <si>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</si>
  <si>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</si>
  <si>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</si>
  <si>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</si>
  <si>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</si>
  <si>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</si>
  <si>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</si>
  <si>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</si>
  <si>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</si>
  <si>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</si>
  <si>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</si>
  <si>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</si>
  <si>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</si>
  <si>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</si>
  <si>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</si>
  <si>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</si>
  <si>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</si>
  <si>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</si>
  <si>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</si>
  <si>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</si>
  <si>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</si>
  <si>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</si>
  <si>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</si>
  <si>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</si>
  <si>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</si>
  <si>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</si>
  <si>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</si>
  <si>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</si>
  <si>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</si>
  <si>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</si>
  <si>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</si>
  <si>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</si>
  <si>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</si>
  <si>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</si>
  <si>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</si>
  <si>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</si>
  <si>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</si>
  <si>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</si>
  <si>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</si>
  <si>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</si>
  <si>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</si>
  <si>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</si>
  <si>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</si>
  <si>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</si>
  <si>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</si>
  <si>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</si>
  <si>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</si>
  <si>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</si>
  <si>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</si>
  <si>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</si>
  <si>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</si>
  <si>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</si>
  <si>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</si>
  <si>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</si>
  <si>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</si>
  <si>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</si>
  <si>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</si>
  <si>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</si>
  <si>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</si>
  <si>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</si>
  <si>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</si>
  <si>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</si>
  <si>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</si>
  <si>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</si>
  <si>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</si>
  <si>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</si>
  <si>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</si>
  <si>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</si>
  <si>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</si>
  <si>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</si>
  <si>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</si>
  <si>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</si>
  <si>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</si>
  <si>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</si>
  <si>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</si>
  <si>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</si>
  <si>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</si>
  <si>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</si>
  <si>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</si>
  <si>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</si>
  <si>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</si>
  <si>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</si>
  <si>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</si>
  <si>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</si>
  <si>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</si>
  <si>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</si>
  <si>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</si>
  <si>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</si>
  <si>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</si>
  <si>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</si>
  <si>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</si>
  <si>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</si>
  <si>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</si>
  <si>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</si>
  <si>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</si>
  <si>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</si>
  <si>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</si>
  <si>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</si>
  <si>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</si>
  <si>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</si>
  <si>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</si>
  <si>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</si>
  <si>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</si>
  <si>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</si>
  <si>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</si>
  <si>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</si>
  <si>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</si>
  <si>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</si>
  <si>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</si>
  <si>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</si>
  <si>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</si>
  <si>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</si>
  <si>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</si>
  <si>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</si>
  <si>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</si>
  <si>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</si>
  <si>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</si>
  <si>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</si>
  <si>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</si>
  <si>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</si>
  <si>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</si>
  <si>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</si>
  <si>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</si>
  <si>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</si>
  <si>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</si>
  <si>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</si>
  <si>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</si>
  <si>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</si>
  <si>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</si>
  <si>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</si>
  <si>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</si>
  <si>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</si>
  <si>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</si>
  <si>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</si>
  <si>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</si>
  <si>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</si>
  <si>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</si>
  <si>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</si>
  <si>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</si>
  <si>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</si>
  <si>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</si>
  <si>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</si>
  <si>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</si>
  <si>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</si>
  <si>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</si>
  <si>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</si>
  <si>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</si>
  <si>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</si>
  <si>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</si>
  <si>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</si>
  <si>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</si>
  <si>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</si>
  <si>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</si>
  <si>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</si>
  <si>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</si>
  <si>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</si>
  <si>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</si>
  <si>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</si>
  <si>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</si>
  <si>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</si>
  <si>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</si>
  <si>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</si>
  <si>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</si>
  <si>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</si>
  <si>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</si>
  <si>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</si>
  <si>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</si>
  <si>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</si>
  <si>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</si>
  <si>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</si>
  <si>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</si>
  <si>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</si>
  <si>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</si>
  <si>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</si>
  <si>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</si>
  <si>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</si>
  <si>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</si>
  <si>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</si>
  <si>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</si>
  <si>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</si>
  <si>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</si>
  <si>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</si>
  <si>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</si>
  <si>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</si>
  <si>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</si>
  <si>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</si>
  <si>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</si>
  <si>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</si>
  <si>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</si>
  <si>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</si>
  <si>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</si>
  <si>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</si>
  <si>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</si>
  <si>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</si>
  <si>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</si>
  <si>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</si>
  <si>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</si>
  <si>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</si>
  <si>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</si>
  <si>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</si>
  <si>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</si>
  <si>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</si>
  <si>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</si>
  <si>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</si>
  <si>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</si>
  <si>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</si>
  <si>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</si>
  <si>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</si>
  <si>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</si>
  <si>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</si>
  <si>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</si>
  <si>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</si>
  <si>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</si>
  <si>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</si>
  <si>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</si>
  <si>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</si>
  <si>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</si>
  <si>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</si>
  <si>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</si>
  <si>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</si>
  <si>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</si>
  <si>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</si>
  <si>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</si>
  <si>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</si>
  <si>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</si>
  <si>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</si>
  <si>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</si>
  <si>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</si>
  <si>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</si>
  <si>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</si>
  <si>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</si>
  <si>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</si>
  <si>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</si>
  <si>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</si>
  <si>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</si>
  <si>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</si>
  <si>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</si>
  <si>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</si>
  <si>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</si>
  <si>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</si>
  <si>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</si>
  <si>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</si>
  <si>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</si>
  <si>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</si>
  <si>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</si>
  <si>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</si>
  <si>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</si>
  <si>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</si>
  <si>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</si>
  <si>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</si>
  <si>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</si>
  <si>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</si>
  <si>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</si>
  <si>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</si>
  <si>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</si>
  <si>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</si>
  <si>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</si>
  <si>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</si>
  <si>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</si>
  <si>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</si>
  <si>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</si>
  <si>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</si>
  <si>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</si>
  <si>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</si>
  <si>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</si>
  <si>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</si>
  <si>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</si>
  <si>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</si>
  <si>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</si>
  <si>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</si>
  <si>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</si>
  <si>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</si>
  <si>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</si>
  <si>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</si>
  <si>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</si>
  <si>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</si>
  <si>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</si>
  <si>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</si>
  <si>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</si>
  <si>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</si>
  <si>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</si>
  <si>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</si>
  <si>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</si>
  <si>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</si>
  <si>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</si>
  <si>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</si>
  <si>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</si>
  <si>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</si>
  <si>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</si>
  <si>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</si>
  <si>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</si>
  <si>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</si>
  <si>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</si>
  <si>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</si>
  <si>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</si>
  <si>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</si>
  <si>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</si>
  <si>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</si>
  <si>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</si>
  <si>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</si>
  <si>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</si>
  <si>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</si>
  <si>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</si>
  <si>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</si>
  <si>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</si>
  <si>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</si>
  <si>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</si>
  <si>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</si>
  <si>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</si>
  <si>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</si>
  <si>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</si>
  <si>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</si>
  <si>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</si>
  <si>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</si>
  <si>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</si>
  <si>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</si>
  <si>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</si>
  <si>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</si>
  <si>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</si>
  <si>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</si>
  <si>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</si>
  <si>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</si>
  <si>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</si>
  <si>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</si>
  <si>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</si>
  <si>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</si>
  <si>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</si>
  <si>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</si>
  <si>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</si>
  <si>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</si>
  <si>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</si>
  <si>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</si>
  <si>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</si>
  <si>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</si>
  <si>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</si>
  <si>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</si>
  <si>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</si>
  <si>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</si>
  <si>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</si>
  <si>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</si>
  <si>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</si>
  <si>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</si>
  <si>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</si>
  <si>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</si>
  <si>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</si>
  <si>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</si>
  <si>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</si>
  <si>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</si>
  <si>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</si>
  <si>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</si>
  <si>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</si>
  <si>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</si>
  <si>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</si>
  <si>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</si>
  <si>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</si>
  <si>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</si>
  <si>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</si>
  <si>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</si>
  <si>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</si>
  <si>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</si>
  <si>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</si>
  <si>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</si>
  <si>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</si>
  <si>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</si>
  <si>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</si>
  <si>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</si>
  <si>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</si>
  <si>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</si>
  <si>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</si>
  <si>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</si>
  <si>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</si>
  <si>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</si>
  <si>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</si>
  <si>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</si>
  <si>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</si>
  <si>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</si>
  <si>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</si>
  <si>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</si>
  <si>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</si>
  <si>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</si>
  <si>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</si>
  <si>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</si>
  <si>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</si>
  <si>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</si>
  <si>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</si>
  <si>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</si>
  <si>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</si>
  <si>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</si>
  <si>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</si>
  <si>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</si>
  <si>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</si>
  <si>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</si>
  <si>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</si>
  <si>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</si>
  <si>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</si>
  <si>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</si>
  <si>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</si>
  <si>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</si>
  <si>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</si>
  <si>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</si>
  <si>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</si>
  <si>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</si>
  <si>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</si>
  <si>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</si>
  <si>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</si>
  <si>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</si>
  <si>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</si>
  <si>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</si>
  <si>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</si>
  <si>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</si>
  <si>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</si>
  <si>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</si>
  <si>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</si>
  <si>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</si>
  <si>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</si>
  <si>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</si>
  <si>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</si>
  <si>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</si>
  <si>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</si>
  <si>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</si>
  <si>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</si>
  <si>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</si>
  <si>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</si>
  <si>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</si>
  <si>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</si>
  <si>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</si>
  <si>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</si>
  <si>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</si>
  <si>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</si>
  <si>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</si>
  <si>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</si>
  <si>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</si>
  <si>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</si>
  <si>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</si>
  <si>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</si>
  <si>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</si>
  <si>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</si>
  <si>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</si>
  <si>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</si>
  <si>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</si>
  <si>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</si>
  <si>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</si>
  <si>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</si>
  <si>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</si>
  <si>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</si>
  <si>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</si>
  <si>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</si>
  <si>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</si>
  <si>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</si>
  <si>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</si>
  <si>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</si>
  <si>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</si>
  <si>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</si>
  <si>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</si>
  <si>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</si>
  <si>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</si>
  <si>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</si>
  <si>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</si>
  <si>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</si>
  <si>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</si>
  <si>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</si>
  <si>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</si>
  <si>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</si>
  <si>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</si>
  <si>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</si>
  <si>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</si>
  <si>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</si>
  <si>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</si>
  <si>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</si>
  <si>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</si>
  <si>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</si>
  <si>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</si>
  <si>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</si>
  <si>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</si>
  <si>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</si>
  <si>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</si>
  <si>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</si>
  <si>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</si>
  <si>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</si>
  <si>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</si>
  <si>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</si>
  <si>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</si>
  <si>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</si>
  <si>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</si>
  <si>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</si>
  <si>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</si>
  <si>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</si>
  <si>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</si>
  <si>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</si>
  <si>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</si>
  <si>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</si>
  <si>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</si>
  <si>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</si>
  <si>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</si>
  <si>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</si>
  <si>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</si>
  <si>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</si>
  <si>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</si>
  <si>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</si>
  <si>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</si>
  <si>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</si>
  <si>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</si>
  <si>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</si>
  <si>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</si>
  <si>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</si>
  <si>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</si>
  <si>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</si>
  <si>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</si>
  <si>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</si>
  <si>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</si>
  <si>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</si>
  <si>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</si>
  <si>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</si>
  <si>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</si>
  <si>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</si>
  <si>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</si>
  <si>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</si>
  <si>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</si>
  <si>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</si>
  <si>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</si>
  <si>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</si>
  <si>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</si>
  <si>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</si>
  <si>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</si>
  <si>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</si>
  <si>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</si>
  <si>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</si>
  <si>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</si>
  <si>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</si>
  <si>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</si>
  <si>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</si>
  <si>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</si>
  <si>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</si>
  <si>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</si>
  <si>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</si>
  <si>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</si>
  <si>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</si>
  <si>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</si>
  <si>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</si>
  <si>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</si>
  <si>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</si>
  <si>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</si>
  <si>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</si>
  <si>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</si>
  <si>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</si>
  <si>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</si>
  <si>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</si>
  <si>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</si>
  <si>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</si>
  <si>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</si>
  <si>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</si>
  <si>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</si>
  <si>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</si>
  <si>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</si>
  <si>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</si>
  <si>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</si>
  <si>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</si>
  <si>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</si>
  <si>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</si>
  <si>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</si>
  <si>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</si>
  <si>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</si>
  <si>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</si>
  <si>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</si>
  <si>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</si>
  <si>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</si>
  <si>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</si>
  <si>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</si>
  <si>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</si>
  <si>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</si>
  <si>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</si>
  <si>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</si>
  <si>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</si>
  <si>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</si>
  <si>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</si>
  <si>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</si>
  <si>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</si>
  <si>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</si>
  <si>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</si>
  <si>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</si>
  <si>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</si>
  <si>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</si>
  <si>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</si>
  <si>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</si>
  <si>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</si>
  <si>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</si>
  <si>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</si>
  <si>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</si>
  <si>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</si>
  <si>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</si>
  <si>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</si>
  <si>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</si>
  <si>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</si>
  <si>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</si>
  <si>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</si>
  <si>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</si>
  <si>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</si>
  <si>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</si>
  <si>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</si>
  <si>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</si>
  <si>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</si>
  <si>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</si>
  <si>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</si>
  <si>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</si>
  <si>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</si>
  <si>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</si>
  <si>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</si>
  <si>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</si>
  <si>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</si>
  <si>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</si>
  <si>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</si>
  <si>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</si>
  <si>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</si>
  <si>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</si>
  <si>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</si>
  <si>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</si>
  <si>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</si>
  <si>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</si>
  <si>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</si>
  <si>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</si>
  <si>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</si>
  <si>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</si>
  <si>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</si>
  <si>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</si>
  <si>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</si>
  <si>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</si>
  <si>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</si>
  <si>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</si>
  <si>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</si>
  <si>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</si>
  <si>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</si>
  <si>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</si>
  <si>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</si>
  <si>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</si>
  <si>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</si>
  <si>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</si>
  <si>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</si>
  <si>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</si>
  <si>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</si>
  <si>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</si>
  <si>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</si>
  <si>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</si>
  <si>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</si>
  <si>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</si>
  <si>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</si>
  <si>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</si>
  <si>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</si>
  <si>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</si>
  <si>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</si>
  <si>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</si>
  <si>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</si>
  <si>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</si>
  <si>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</si>
  <si>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</si>
  <si>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</si>
  <si>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</si>
  <si>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</si>
  <si>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</si>
  <si>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</si>
  <si>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</si>
  <si>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</si>
  <si>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</si>
  <si>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</si>
  <si>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</si>
  <si>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</si>
  <si>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</si>
  <si>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</si>
  <si>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</si>
  <si>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</si>
  <si>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</si>
  <si>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</si>
  <si>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</si>
  <si>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</si>
  <si>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</si>
  <si>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</si>
  <si>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</si>
  <si>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</si>
  <si>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</si>
  <si>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</si>
  <si>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</si>
  <si>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</si>
  <si>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</si>
  <si>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</si>
  <si>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</si>
  <si>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</si>
  <si>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</si>
  <si>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</si>
  <si>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</si>
  <si>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</si>
  <si>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</si>
  <si>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</si>
  <si>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</si>
  <si>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</si>
  <si>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</si>
  <si>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</si>
  <si>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</si>
  <si>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</si>
  <si>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</si>
  <si>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</si>
  <si>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</si>
  <si>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</si>
  <si>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</si>
  <si>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</si>
  <si>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</si>
  <si>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</si>
  <si>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</si>
  <si>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</si>
  <si>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</si>
  <si>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</si>
  <si>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</si>
  <si>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</si>
  <si>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</si>
  <si>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</si>
  <si>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</si>
  <si>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</si>
  <si>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</si>
  <si>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</si>
  <si>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</si>
  <si>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</si>
  <si>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</si>
  <si>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</si>
  <si>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</si>
  <si>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</si>
  <si>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</si>
  <si>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</si>
  <si>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</si>
  <si>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</si>
  <si>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</si>
  <si>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</si>
  <si>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</si>
  <si>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</si>
  <si>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</si>
  <si>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</si>
  <si>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</si>
  <si>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</si>
  <si>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</si>
  <si>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</si>
  <si>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</si>
  <si>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</si>
  <si>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</si>
  <si>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</si>
  <si>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</si>
  <si>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</si>
  <si>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</si>
  <si>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</si>
  <si>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</si>
  <si>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</si>
  <si>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</si>
  <si>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</si>
  <si>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</si>
  <si>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</si>
  <si>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</si>
  <si>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</si>
  <si>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</si>
  <si>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</si>
  <si>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</si>
  <si>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</si>
  <si>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</si>
  <si>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</si>
  <si>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</si>
  <si>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</si>
  <si>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</si>
  <si>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</si>
  <si>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</si>
  <si>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</si>
  <si>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</si>
  <si>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</si>
  <si>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</si>
  <si>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</si>
  <si>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</si>
  <si>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</si>
  <si>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</si>
  <si>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</si>
  <si>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</si>
  <si>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</si>
  <si>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</si>
  <si>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</si>
  <si>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</si>
  <si>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</si>
  <si>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</si>
  <si>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</si>
  <si>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</si>
  <si>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</si>
  <si>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</si>
  <si>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</si>
  <si>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</si>
  <si>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</si>
  <si>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</si>
  <si>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</si>
  <si>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</si>
  <si>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</si>
  <si>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</si>
  <si>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</si>
  <si>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</si>
  <si>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</si>
  <si>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</si>
  <si>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</si>
  <si>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</si>
  <si>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</si>
  <si>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</si>
  <si>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</si>
  <si>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</si>
  <si>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</si>
  <si>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</si>
  <si>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</si>
  <si>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</si>
  <si>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</si>
  <si>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</si>
  <si>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</si>
  <si>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</si>
  <si>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</si>
  <si>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</si>
  <si>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</si>
  <si>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</si>
  <si>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</si>
  <si>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</si>
  <si>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</si>
  <si>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</si>
  <si>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</si>
  <si>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</si>
  <si>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</si>
  <si>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</si>
  <si>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</si>
  <si>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</si>
  <si>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</si>
  <si>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</si>
  <si>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</si>
  <si>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</si>
  <si>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</si>
  <si>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</si>
  <si>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</si>
  <si>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</si>
  <si>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</si>
  <si>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</si>
  <si>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</si>
  <si>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</si>
  <si>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</si>
  <si>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</si>
  <si>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</si>
  <si>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</si>
  <si>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</si>
  <si>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</si>
  <si>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</si>
  <si>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</si>
  <si>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</si>
  <si>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</si>
  <si>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</si>
  <si>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</si>
  <si>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</si>
  <si>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</si>
  <si>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</si>
  <si>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</si>
  <si>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</si>
  <si>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</si>
  <si>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</si>
  <si>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</si>
  <si>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</si>
  <si>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</si>
  <si>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</si>
  <si>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</si>
  <si>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</si>
  <si>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</si>
  <si>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</si>
  <si>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</si>
  <si>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</si>
  <si>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</si>
  <si>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</si>
  <si>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</si>
  <si>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</si>
  <si>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</si>
  <si>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</si>
  <si>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</si>
  <si>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</si>
  <si>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</si>
  <si>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</si>
  <si>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</si>
  <si>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</si>
  <si>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</si>
  <si>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</si>
  <si>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</si>
  <si>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</si>
  <si>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</si>
  <si>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</si>
  <si>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</si>
  <si>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</si>
  <si>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</si>
  <si>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</si>
  <si>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</si>
  <si>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</si>
  <si>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</si>
  <si>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</si>
  <si>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</si>
  <si>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</si>
  <si>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</si>
  <si>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</si>
  <si>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</si>
  <si>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</si>
  <si>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</si>
  <si>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</si>
  <si>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</si>
  <si>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</si>
  <si>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</si>
  <si>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</si>
  <si>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</si>
  <si>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</si>
  <si>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</si>
  <si>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</si>
  <si>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</si>
  <si>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</si>
  <si>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</si>
  <si>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</si>
  <si>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</si>
  <si>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</si>
  <si>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</si>
  <si>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</si>
  <si>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</si>
  <si>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</si>
  <si>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</si>
  <si>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</si>
  <si>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</si>
  <si>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</si>
  <si>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</si>
  <si>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</si>
  <si>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</si>
  <si>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</si>
  <si>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</si>
  <si>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</si>
  <si>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</si>
  <si>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</si>
  <si>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</si>
  <si>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</si>
  <si>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</si>
  <si>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</si>
  <si>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</si>
  <si>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</si>
  <si>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</si>
  <si>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</si>
  <si>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</si>
  <si>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</si>
  <si>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</si>
  <si>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</si>
  <si>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</si>
  <si>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</si>
  <si>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</si>
  <si>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</si>
  <si>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</si>
  <si>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</si>
  <si>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</si>
  <si>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</si>
  <si>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</si>
  <si>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</si>
  <si>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</si>
  <si>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</si>
  <si>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</si>
  <si>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</si>
  <si>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</si>
  <si>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</si>
  <si>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</si>
  <si>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</si>
  <si>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</si>
  <si>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</si>
  <si>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</si>
  <si>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</si>
  <si>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</si>
  <si>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</si>
  <si>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</si>
  <si>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</si>
  <si>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</si>
  <si>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</si>
  <si>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</si>
  <si>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</si>
  <si>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</si>
  <si>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</si>
  <si>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</si>
  <si>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</si>
  <si>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</si>
  <si>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</si>
  <si>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</si>
  <si>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</si>
  <si>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</si>
  <si>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</si>
  <si>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</si>
  <si>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</si>
  <si>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</si>
  <si>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</si>
  <si>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</si>
  <si>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</si>
  <si>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</si>
  <si>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</si>
  <si>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</si>
  <si>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</si>
  <si>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</si>
  <si>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</si>
  <si>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</si>
  <si>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</si>
  <si>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</si>
  <si>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</si>
  <si>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</si>
  <si>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</si>
  <si>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</si>
  <si>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</si>
  <si>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</si>
  <si>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</si>
  <si>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</si>
  <si>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</si>
  <si>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</si>
  <si>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</si>
  <si>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</si>
  <si>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</si>
  <si>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</si>
  <si>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</si>
  <si>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</si>
  <si>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</si>
  <si>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</si>
  <si>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</si>
  <si>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</si>
  <si>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</si>
  <si>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</si>
  <si>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</si>
  <si>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</si>
  <si>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</si>
  <si>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</si>
  <si>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</si>
  <si>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</si>
  <si>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</si>
  <si>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</si>
  <si>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</si>
  <si>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</si>
  <si>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</si>
  <si>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</si>
  <si>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</si>
  <si>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</si>
  <si>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</si>
  <si>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</si>
  <si>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</si>
  <si>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</si>
  <si>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</si>
  <si>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</si>
  <si>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</si>
  <si>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</si>
  <si>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</si>
  <si>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</si>
  <si>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</si>
  <si>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</si>
  <si>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</si>
  <si>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</si>
  <si>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</si>
  <si>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</si>
  <si>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</si>
  <si>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</si>
  <si>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</si>
  <si>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</si>
  <si>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</si>
  <si>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</si>
  <si>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</si>
  <si>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</si>
  <si>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</si>
  <si>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</si>
  <si>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</si>
  <si>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</si>
  <si>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</si>
  <si>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</si>
  <si>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</si>
  <si>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</si>
  <si>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</si>
  <si>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</si>
  <si>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</si>
  <si>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</si>
  <si>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</si>
  <si>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</si>
  <si>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</si>
  <si>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</si>
  <si>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</si>
  <si>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</si>
  <si>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</si>
  <si>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</si>
  <si>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</si>
  <si>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</si>
  <si>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</si>
  <si>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</si>
  <si>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</si>
  <si>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</si>
  <si>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</si>
  <si>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</si>
  <si>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</si>
  <si>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</si>
  <si>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</si>
  <si>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</si>
  <si>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</si>
  <si>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</si>
  <si>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</si>
  <si>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</si>
  <si>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</si>
  <si>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</si>
  <si>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</si>
  <si>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</si>
  <si>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</si>
  <si>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</si>
  <si>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</si>
  <si>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</si>
  <si>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</si>
  <si>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</si>
  <si>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</si>
  <si>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</si>
  <si>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</si>
  <si>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</si>
  <si>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</si>
  <si>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</si>
  <si>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</si>
  <si>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</si>
  <si>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</si>
  <si>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</si>
  <si>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</si>
  <si>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</si>
  <si>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</si>
  <si>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</si>
  <si>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</si>
  <si>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</si>
  <si>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</si>
  <si>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</si>
  <si>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</si>
  <si>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</si>
  <si>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</si>
  <si>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</si>
  <si>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</si>
  <si>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</si>
  <si>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</si>
  <si>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</si>
  <si>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</si>
  <si>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</si>
  <si>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</si>
  <si>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</si>
  <si>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</si>
  <si>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</si>
  <si>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</si>
  <si>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</si>
  <si>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</si>
  <si>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</si>
  <si>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</si>
  <si>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</si>
  <si>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</si>
  <si>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</si>
  <si>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</si>
  <si>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</si>
  <si>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</si>
  <si>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</si>
  <si>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</si>
  <si>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</si>
  <si>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</si>
  <si>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</si>
  <si>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</si>
  <si>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</si>
  <si>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</si>
  <si>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</si>
  <si>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</si>
  <si>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</si>
  <si>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</si>
  <si>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</si>
  <si>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</si>
  <si>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</si>
  <si>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</si>
  <si>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</si>
  <si>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</si>
  <si>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</si>
  <si>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</si>
  <si>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</si>
  <si>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</si>
  <si>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</si>
  <si>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</si>
  <si>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</si>
  <si>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</si>
  <si>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</si>
  <si>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</si>
  <si>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</si>
  <si>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</si>
  <si>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</si>
  <si>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</si>
  <si>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</si>
  <si>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</si>
  <si>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</si>
  <si>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</si>
  <si>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</si>
  <si>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</si>
  <si>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</si>
  <si>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</si>
  <si>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</si>
  <si>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</si>
  <si>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</si>
  <si>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</si>
  <si>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</si>
  <si>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</si>
  <si>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</si>
  <si>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</si>
  <si>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</si>
  <si>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</si>
  <si>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</si>
  <si>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</si>
  <si>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</si>
  <si>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</si>
  <si>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</si>
  <si>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</si>
  <si>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</si>
  <si>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</si>
  <si>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</si>
  <si>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</si>
  <si>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</si>
  <si>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</si>
  <si>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</si>
  <si>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</si>
  <si>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</si>
  <si>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</si>
  <si>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</si>
  <si>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</si>
  <si>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</si>
  <si>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</si>
  <si>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</si>
  <si>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</si>
  <si>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</si>
  <si>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</si>
  <si>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</si>
  <si>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</si>
  <si>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</si>
  <si>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</si>
  <si>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</si>
  <si>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</si>
  <si>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</si>
  <si>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</si>
  <si>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</si>
  <si>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</si>
  <si>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</si>
  <si>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</si>
  <si>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</si>
  <si>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</si>
  <si>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</si>
  <si>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</si>
  <si>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</si>
  <si>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</si>
  <si>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</si>
  <si>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</si>
  <si>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</si>
  <si>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</si>
  <si>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</si>
  <si>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</si>
  <si>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</si>
  <si>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</si>
  <si>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</si>
  <si>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</si>
  <si>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</si>
  <si>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</si>
  <si>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</si>
  <si>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</si>
  <si>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</si>
  <si>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</si>
  <si>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</si>
  <si>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</si>
  <si>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</si>
  <si>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</si>
  <si>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</si>
  <si>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</si>
  <si>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</si>
  <si>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</si>
  <si>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</si>
  <si>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</si>
  <si>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</si>
  <si>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</si>
  <si>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</si>
  <si>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</si>
  <si>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</si>
  <si>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</si>
  <si>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</si>
  <si>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</si>
  <si>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</si>
  <si>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</si>
  <si>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</si>
  <si>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</si>
  <si>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</si>
  <si>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</si>
  <si>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</si>
  <si>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</si>
  <si>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</si>
  <si>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</si>
  <si>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</si>
  <si>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</si>
  <si>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</si>
  <si>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</si>
  <si>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</si>
  <si>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</si>
  <si>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</si>
  <si>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</si>
  <si>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</si>
  <si>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</si>
  <si>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</si>
  <si>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</si>
  <si>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</si>
  <si>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</si>
  <si>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</si>
  <si>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</si>
  <si>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</si>
  <si>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</si>
  <si>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</si>
  <si>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</si>
  <si>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</si>
  <si>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</si>
  <si>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</si>
  <si>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</si>
  <si>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</si>
  <si>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</si>
  <si>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</si>
  <si>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</si>
  <si>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</si>
  <si>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</si>
  <si>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</si>
  <si>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</si>
  <si>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</si>
  <si>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</si>
  <si>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</si>
  <si>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</si>
  <si>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</si>
  <si>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</si>
  <si>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</si>
  <si>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</si>
  <si>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</si>
  <si>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</si>
  <si>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</si>
  <si>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</si>
  <si>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</si>
  <si>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</si>
  <si>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Sorgue</t>
  </si>
  <si>
    <t xml:space="preserve">Fontaine de Vaucluse</t>
  </si>
  <si>
    <t xml:space="preserve">06123700</t>
  </si>
  <si>
    <t xml:space="preserve">RCS PACA</t>
  </si>
  <si>
    <t xml:space="preserve">Robustesse:</t>
  </si>
  <si>
    <t xml:space="preserve">ch. lotique</t>
  </si>
  <si>
    <t xml:space="preserve">faible</t>
  </si>
  <si>
    <t xml:space="preserve">(faible)</t>
  </si>
  <si>
    <t xml:space="preserve">périphyton</t>
  </si>
  <si>
    <t xml:space="preserve"> rec. par taxa (107,09 %) supérieur à 20 % !</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</si>
  <si>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</si>
  <si>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</si>
  <si>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</si>
  <si>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</si>
  <si>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</si>
  <si>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</si>
  <si>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pl. courant</t>
  </si>
  <si>
    <t xml:space="preserve">radier</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</si>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</sst>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
      <patternFill patternType="solid">
        <fgColor rgb="FF99CC00"/>
        <bgColor rgb="FFFFCC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29" borderId="65" xfId="0" applyFont="true" applyBorder="true" applyAlignment="true" applyProtection="true">
      <alignment horizontal="left" vertical="top" textRotation="0" wrapText="false" indent="0" shrinkToFit="false"/>
      <protection locked="true" hidden="true"/>
    </xf>
    <xf numFmtId="172" fontId="44" fillId="29" borderId="66" xfId="0" applyFont="true" applyBorder="true" applyAlignment="true" applyProtection="true">
      <alignment horizontal="left" vertical="top" textRotation="0" wrapText="false" indent="0" shrinkToFit="false"/>
      <protection locked="true" hidden="true"/>
    </xf>
    <xf numFmtId="172" fontId="75" fillId="29" borderId="58" xfId="0" applyFont="true" applyBorder="true" applyAlignment="true" applyProtection="true">
      <alignment horizontal="left" vertical="top" textRotation="0" wrapText="false" indent="0" shrinkToFit="false"/>
      <protection locked="true" hidden="true"/>
    </xf>
    <xf numFmtId="172" fontId="37" fillId="29" borderId="58" xfId="0" applyFont="true" applyBorder="true" applyAlignment="true" applyProtection="true">
      <alignment horizontal="center" vertical="top" textRotation="0" wrapText="false" indent="0" shrinkToFit="false"/>
      <protection locked="true" hidden="true"/>
    </xf>
    <xf numFmtId="164" fontId="35" fillId="29" borderId="69" xfId="0" applyFont="true" applyBorder="true" applyAlignment="true" applyProtection="true">
      <alignment horizontal="left" vertical="bottom" textRotation="0" wrapText="false" indent="0" shrinkToFit="false"/>
      <protection locked="true" hidden="true"/>
    </xf>
    <xf numFmtId="164" fontId="43" fillId="29" borderId="70" xfId="0" applyFont="true" applyBorder="true" applyAlignment="true" applyProtection="true">
      <alignment horizontal="right" vertical="top" textRotation="0" wrapText="false" indent="0" shrinkToFit="false"/>
      <protection locked="true" hidden="true"/>
    </xf>
    <xf numFmtId="164" fontId="107" fillId="29" borderId="71" xfId="0" applyFont="true" applyBorder="true" applyAlignment="true" applyProtection="true">
      <alignment horizontal="center" vertical="top" textRotation="0" wrapText="false" indent="0" shrinkToFit="false"/>
      <protection locked="true" hidden="true"/>
    </xf>
    <xf numFmtId="164" fontId="120"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41088</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12.4642857142857</v>
      </c>
      <c r="M5" s="543"/>
      <c r="N5" s="544"/>
      <c r="O5" s="545" t="n">
        <v>12.1304347826087</v>
      </c>
      <c r="P5" s="330"/>
      <c r="Q5" s="284"/>
      <c r="R5" s="284"/>
      <c r="S5" s="284"/>
      <c r="T5" s="284"/>
      <c r="U5" s="284"/>
      <c r="V5" s="284"/>
      <c r="W5" s="296"/>
      <c r="X5" s="316"/>
    </row>
    <row r="6" customFormat="false" ht="13.5" hidden="false" customHeight="false" outlineLevel="0" collapsed="false">
      <c r="A6" s="317" t="s">
        <v>2641</v>
      </c>
      <c r="B6" s="331" t="s">
        <v>2714</v>
      </c>
      <c r="C6" s="331"/>
      <c r="D6" s="320"/>
      <c r="E6" s="320"/>
      <c r="F6" s="332"/>
      <c r="G6" s="322"/>
      <c r="H6" s="320"/>
      <c r="I6" s="333" t="s">
        <v>2642</v>
      </c>
      <c r="J6" s="334"/>
      <c r="K6" s="335"/>
      <c r="L6" s="546" t="s">
        <v>2715</v>
      </c>
      <c r="M6" s="547"/>
      <c r="N6" s="548" t="s">
        <v>2716</v>
      </c>
      <c r="O6" s="548"/>
      <c r="P6" s="339"/>
      <c r="Q6" s="284"/>
      <c r="R6" s="284"/>
      <c r="S6" s="284"/>
      <c r="T6" s="284"/>
      <c r="U6" s="284"/>
      <c r="V6" s="284"/>
      <c r="W6" s="296"/>
      <c r="X6" s="297"/>
    </row>
    <row r="7" customFormat="false" ht="12.75" hidden="false" customHeight="false" outlineLevel="0" collapsed="false">
      <c r="A7" s="340" t="s">
        <v>2643</v>
      </c>
      <c r="B7" s="341" t="n">
        <v>100</v>
      </c>
      <c r="C7" s="342"/>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11.875</v>
      </c>
      <c r="O8" s="358" t="n">
        <f aca="false">AVERAGE(J23:J82)</f>
        <v>1.75</v>
      </c>
      <c r="P8" s="359"/>
      <c r="Q8" s="284"/>
      <c r="R8" s="284"/>
      <c r="S8" s="284"/>
      <c r="T8" s="284"/>
      <c r="U8" s="284"/>
      <c r="V8" s="284"/>
      <c r="W8" s="296"/>
      <c r="X8" s="297"/>
    </row>
    <row r="9" customFormat="false" ht="13.5" hidden="false" customHeight="false" outlineLevel="0" collapsed="false">
      <c r="A9" s="317" t="s">
        <v>2649</v>
      </c>
      <c r="B9" s="360" t="n">
        <v>100</v>
      </c>
      <c r="C9" s="361"/>
      <c r="D9" s="362"/>
      <c r="E9" s="362"/>
      <c r="F9" s="363" t="n">
        <f aca="false">($B9*$B$7+$C9*$C$7)/100</f>
        <v>100</v>
      </c>
      <c r="G9" s="364"/>
      <c r="H9" s="365"/>
      <c r="I9" s="366"/>
      <c r="J9" s="367"/>
      <c r="K9" s="348"/>
      <c r="L9" s="368"/>
      <c r="M9" s="357" t="s">
        <v>2650</v>
      </c>
      <c r="N9" s="358" t="n">
        <f aca="false">STDEV(I23:I82)</f>
        <v>3.81007436497855</v>
      </c>
      <c r="O9" s="358" t="n">
        <f aca="false">STDEV(J23:J82)</f>
        <v>0.577350269189626</v>
      </c>
      <c r="P9" s="359"/>
      <c r="Q9" s="284"/>
      <c r="R9" s="284"/>
      <c r="S9" s="284"/>
      <c r="T9" s="284"/>
      <c r="U9" s="284"/>
      <c r="V9" s="284"/>
      <c r="W9" s="369"/>
      <c r="X9" s="370"/>
    </row>
    <row r="10" customFormat="false" ht="13.5" hidden="false" customHeight="false" outlineLevel="0" collapsed="false">
      <c r="A10" s="371" t="s">
        <v>2717</v>
      </c>
      <c r="B10" s="372"/>
      <c r="C10" s="372"/>
      <c r="D10" s="374"/>
      <c r="E10" s="374"/>
      <c r="F10" s="363"/>
      <c r="G10" s="364"/>
      <c r="H10" s="375"/>
      <c r="I10" s="376"/>
      <c r="J10" s="377" t="s">
        <v>2652</v>
      </c>
      <c r="K10" s="377"/>
      <c r="L10" s="378"/>
      <c r="M10" s="379" t="s">
        <v>2653</v>
      </c>
      <c r="N10" s="380" t="n">
        <f aca="false">MIN(I23:I82)</f>
        <v>4</v>
      </c>
      <c r="O10" s="380" t="n">
        <f aca="false">MIN(J23:J82)</f>
        <v>1</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18</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11</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4</v>
      </c>
      <c r="L13" s="390"/>
      <c r="M13" s="401" t="s">
        <v>2661</v>
      </c>
      <c r="N13" s="402" t="n">
        <f aca="false">COUNTIF(F23:F82,"&gt;0")</f>
        <v>16</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16</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1</v>
      </c>
      <c r="L15" s="390"/>
      <c r="M15" s="411" t="s">
        <v>2667</v>
      </c>
      <c r="N15" s="412" t="n">
        <f aca="false">COUNTIF(J23:J82,"=1")</f>
        <v>5</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10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1</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107.09</v>
      </c>
      <c r="C20" s="440" t="n">
        <f aca="false">SUM(C23:C82)</f>
        <v>0</v>
      </c>
      <c r="D20" s="441"/>
      <c r="E20" s="442" t="s">
        <v>2673</v>
      </c>
      <c r="F20" s="443" t="n">
        <f aca="false">($B20*$B$7+$C20*$C$7)/100</f>
        <v>107.09</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107.09</v>
      </c>
      <c r="C21" s="453" t="n">
        <f aca="false">C20*C7/100</f>
        <v>0</v>
      </c>
      <c r="D21" s="385" t="str">
        <f aca="false">IF(F21=0,"",IF((ABS(F21-F19))&gt;(0.2*F21),CONCATENATE(" rec. par taxa (",F21," %) supérieur à 20 % !"),""))</f>
        <v> rec. par taxa (107,09 %) supérieur à 20 % !</v>
      </c>
      <c r="E21" s="454" t="str">
        <f aca="false">IF(F21=0,"",IF((ABS(F21-F19))&gt;(0.2*F21),CONCATENATE("ATTENTION : écart entre rec. par grp (",F19," %) ","et",""),""))</f>
        <v>ATTENTION : écart entre rec. par grp (0 %) et</v>
      </c>
      <c r="F21" s="455" t="n">
        <f aca="false">B21+C21</f>
        <v>107.09</v>
      </c>
      <c r="G21" s="456"/>
      <c r="H21" s="385"/>
      <c r="I21" s="457"/>
      <c r="J21" s="457"/>
      <c r="K21" s="458"/>
      <c r="L21" s="458"/>
      <c r="M21" s="459"/>
      <c r="N21" s="459"/>
      <c r="O21" s="460"/>
      <c r="P21" s="461"/>
      <c r="Q21" s="462" t="s">
        <v>2678</v>
      </c>
      <c r="R21" s="284"/>
      <c r="S21" s="284"/>
      <c r="T21" s="284"/>
      <c r="U21" s="284"/>
      <c r="V21" s="284" t="s">
        <v>2718</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60</v>
      </c>
      <c r="B23" s="499" t="n">
        <v>0.005</v>
      </c>
      <c r="C23" s="500"/>
      <c r="D23" s="501" t="str">
        <f aca="false">IF(ISERROR(VLOOKUP($A23,'liste reference'!$A$7:$D$904,2,0)),IF(ISERROR(VLOOKUP($A23,'liste reference'!$B$7:$D$904,1,0)),"",VLOOKUP($A23,'liste reference'!$B$7:$D$904,1,0)),VLOOKUP($A23,'liste reference'!$A$7:$D$904,2,0))</f>
        <v>Audouinella sp.</v>
      </c>
      <c r="E23" s="501" t="e">
        <f aca="false">IF(D23="",0,VLOOKUP(D23,D$22:D22,1,0))</f>
        <v>#N/A</v>
      </c>
      <c r="F23" s="508" t="n">
        <f aca="false">($B23*$B$7+$C23*$C$7)/100</f>
        <v>0.005</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13</v>
      </c>
      <c r="J23" s="486" t="n">
        <f aca="false">IF(ISNUMBER(H23),IF(ISERROR(VLOOKUP($A23,'liste reference'!$A$7:$P$904,4,0)),IF(ISERROR(VLOOKUP($A23,'liste reference'!$B$7:$P$904,3,0)),"",VLOOKUP($A23,'liste reference'!$B$7:$P$904,3,0)),VLOOKUP($A23,'liste reference'!$A$7:$P$904,4,0)),"")</f>
        <v>2</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6076</v>
      </c>
      <c r="Q23" s="491" t="n">
        <f aca="false">IF(ISTEXT(H23),"",(B23*$B$7/100)+(C23*$C$7/100))</f>
        <v>0.005</v>
      </c>
      <c r="R23" s="492" t="n">
        <f aca="false">IF(OR(ISTEXT(H23),Q23=0),"",IF(Q23&lt;0.1,1,IF(Q23&lt;1,2,IF(Q23&lt;10,3,IF(Q23&lt;50,4,IF(Q23&gt;=50,5,""))))))</f>
        <v>1</v>
      </c>
      <c r="S23" s="492" t="n">
        <f aca="false">IF(ISERROR(R23*I23),0,R23*I23)</f>
        <v>13</v>
      </c>
      <c r="T23" s="492" t="n">
        <f aca="false">IF(ISERROR(R23*I23*J23),0,R23*I23*J23)</f>
        <v>26</v>
      </c>
      <c r="U23" s="492" t="n">
        <f aca="false">IF(ISERROR(R23*J23),0,R23*J23)</f>
        <v>2</v>
      </c>
      <c r="V23" s="493" t="n">
        <v>2</v>
      </c>
      <c r="W23" s="494"/>
      <c r="Y23" s="495" t="str">
        <f aca="false">IF(A23="new.cod","NEWCOD",IF(AND((Z23=""),ISTEXT(A23)),A23,IF(Z23="","",INDEX('liste reference'!$A$7:$A$904,Z23))))</f>
        <v>AUDSPX</v>
      </c>
      <c r="Z23" s="284" t="n">
        <f aca="false">IF(ISERROR(MATCH(A23,'liste reference'!$A$7:$A$904,0)),IF(ISERROR(MATCH(A23,'liste reference'!$B$7:$B$904,0)),"",(MATCH(A23,'liste reference'!$B$7:$B$904,0))),(MATCH(A23,'liste reference'!$A$7:$A$904,0)))</f>
        <v>6</v>
      </c>
      <c r="AA23" s="496"/>
      <c r="AB23" s="497"/>
      <c r="AC23" s="497"/>
      <c r="BC23" s="284" t="n">
        <f aca="false">IF(A23="","",1)</f>
        <v>1</v>
      </c>
    </row>
    <row r="24" customFormat="false" ht="12.75" hidden="false" customHeight="false" outlineLevel="0" collapsed="false">
      <c r="A24" s="498" t="s">
        <v>70</v>
      </c>
      <c r="B24" s="499" t="n">
        <v>0.005</v>
      </c>
      <c r="C24" s="500"/>
      <c r="D24" s="501" t="str">
        <f aca="false">IF(ISERROR(VLOOKUP($A24,'liste reference'!$A$7:$D$904,2,0)),IF(ISERROR(VLOOKUP($A24,'liste reference'!$B$7:$D$904,1,0)),"",VLOOKUP($A24,'liste reference'!$B$7:$D$904,1,0)),VLOOKUP($A24,'liste reference'!$A$7:$D$904,2,0))</f>
        <v>Batrachospermum sp.</v>
      </c>
      <c r="E24" s="501" t="e">
        <f aca="false">IF(D24="",0,VLOOKUP(D24,D$22:D23,1,0))</f>
        <v>#N/A</v>
      </c>
      <c r="F24" s="508" t="n">
        <f aca="false">($B24*$B$7+$C24*$C$7)/100</f>
        <v>0.005</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16</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Batrachospermum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1155</v>
      </c>
      <c r="Q24" s="491" t="n">
        <f aca="false">IF(ISTEXT(H24),"",(B24*$B$7/100)+(C24*$C$7/100))</f>
        <v>0.005</v>
      </c>
      <c r="R24" s="492" t="n">
        <f aca="false">IF(OR(ISTEXT(H24),Q24=0),"",IF(Q24&lt;0.1,1,IF(Q24&lt;1,2,IF(Q24&lt;10,3,IF(Q24&lt;50,4,IF(Q24&gt;=50,5,""))))))</f>
        <v>1</v>
      </c>
      <c r="S24" s="492" t="n">
        <f aca="false">IF(ISERROR(R24*I24),0,R24*I24)</f>
        <v>16</v>
      </c>
      <c r="T24" s="492" t="n">
        <f aca="false">IF(ISERROR(R24*I24*J24),0,R24*I24*J24)</f>
        <v>32</v>
      </c>
      <c r="U24" s="506" t="n">
        <f aca="false">IF(ISERROR(R24*J24),0,R24*J24)</f>
        <v>2</v>
      </c>
      <c r="V24" s="493" t="n">
        <v>2</v>
      </c>
      <c r="W24" s="494"/>
      <c r="Y24" s="495" t="str">
        <f aca="false">IF(A24="new.cod","NEWCOD",IF(AND((Z24=""),ISTEXT(A24)),A24,IF(Z24="","",INDEX('liste reference'!$A$7:$A$904,Z24))))</f>
        <v>BATSPX</v>
      </c>
      <c r="Z24" s="284" t="n">
        <f aca="false">IF(ISERROR(MATCH(A24,'liste reference'!$A$7:$A$904,0)),IF(ISERROR(MATCH(A24,'liste reference'!$B$7:$B$904,0)),"",(MATCH(A24,'liste reference'!$B$7:$B$904,0))),(MATCH(A24,'liste reference'!$A$7:$A$904,0)))</f>
        <v>8</v>
      </c>
      <c r="AA24" s="496"/>
      <c r="AB24" s="497"/>
      <c r="AC24" s="497"/>
      <c r="BC24" s="284" t="n">
        <f aca="false">IF(A24="","",1)</f>
        <v>1</v>
      </c>
    </row>
    <row r="25" customFormat="false" ht="12.75" hidden="false" customHeight="false" outlineLevel="0" collapsed="false">
      <c r="A25" s="498" t="s">
        <v>143</v>
      </c>
      <c r="B25" s="499" t="n">
        <v>0.6</v>
      </c>
      <c r="C25" s="500"/>
      <c r="D25" s="501" t="str">
        <f aca="false">IF(ISERROR(VLOOKUP($A25,'liste reference'!$A$7:$D$904,2,0)),IF(ISERROR(VLOOKUP($A25,'liste reference'!$B$7:$D$904,1,0)),"",VLOOKUP($A25,'liste reference'!$B$7:$D$904,1,0)),VLOOKUP($A25,'liste reference'!$A$7:$D$904,2,0))</f>
        <v>Hildenbrandia sp.</v>
      </c>
      <c r="E25" s="501" t="e">
        <f aca="false">IF(D25="",0,VLOOKUP(D25,D$22:D24,1,0))</f>
        <v>#N/A</v>
      </c>
      <c r="F25" s="508" t="n">
        <f aca="false">($B25*$B$7+$C25*$C$7)/100</f>
        <v>0.6</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15</v>
      </c>
      <c r="J25" s="486" t="n">
        <f aca="false">IF(ISNUMBER(H25),IF(ISERROR(VLOOKUP($A25,'liste reference'!$A$7:$P$904,4,0)),IF(ISERROR(VLOOKUP($A25,'liste reference'!$B$7:$P$904,3,0)),"",VLOOKUP($A25,'liste reference'!$B$7:$P$904,3,0)),VLOOKUP($A25,'liste reference'!$A$7:$P$904,4,0)),"")</f>
        <v>2</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1157</v>
      </c>
      <c r="Q25" s="491" t="n">
        <f aca="false">IF(ISTEXT(H25),"",(B25*$B$7/100)+(C25*$C$7/100))</f>
        <v>0.6</v>
      </c>
      <c r="R25" s="492" t="n">
        <f aca="false">IF(OR(ISTEXT(H25),Q25=0),"",IF(Q25&lt;0.1,1,IF(Q25&lt;1,2,IF(Q25&lt;10,3,IF(Q25&lt;50,4,IF(Q25&gt;=50,5,""))))))</f>
        <v>2</v>
      </c>
      <c r="S25" s="492" t="n">
        <f aca="false">IF(ISERROR(R25*I25),0,R25*I25)</f>
        <v>30</v>
      </c>
      <c r="T25" s="492" t="n">
        <f aca="false">IF(ISERROR(R25*I25*J25),0,R25*I25*J25)</f>
        <v>60</v>
      </c>
      <c r="U25" s="506" t="n">
        <f aca="false">IF(ISERROR(R25*J25),0,R25*J25)</f>
        <v>4</v>
      </c>
      <c r="V25" s="493" t="n">
        <v>4</v>
      </c>
      <c r="W25" s="494"/>
      <c r="Y25" s="495" t="str">
        <f aca="false">IF(A25="new.cod","NEWCOD",IF(AND((Z25=""),ISTEXT(A25)),A25,IF(Z25="","",INDEX('liste reference'!$A$7:$A$904,Z25))))</f>
        <v>HILSPX</v>
      </c>
      <c r="Z25" s="284" t="n">
        <f aca="false">IF(ISERROR(MATCH(A25,'liste reference'!$A$7:$A$904,0)),IF(ISERROR(MATCH(A25,'liste reference'!$B$7:$B$904,0)),"",(MATCH(A25,'liste reference'!$B$7:$B$904,0))),(MATCH(A25,'liste reference'!$A$7:$A$904,0)))</f>
        <v>31</v>
      </c>
      <c r="AA25" s="496"/>
      <c r="AB25" s="497"/>
      <c r="AC25" s="497"/>
      <c r="BC25" s="284" t="n">
        <f aca="false">IF(A25="","",1)</f>
        <v>1</v>
      </c>
    </row>
    <row r="26" customFormat="false" ht="12.75" hidden="false" customHeight="false" outlineLevel="0" collapsed="false">
      <c r="A26" s="498" t="s">
        <v>161</v>
      </c>
      <c r="B26" s="499" t="n">
        <v>0.7</v>
      </c>
      <c r="C26" s="500"/>
      <c r="D26" s="501" t="str">
        <f aca="false">IF(ISERROR(VLOOKUP($A26,'liste reference'!$A$7:$D$904,2,0)),IF(ISERROR(VLOOKUP($A26,'liste reference'!$B$7:$D$904,1,0)),"",VLOOKUP($A26,'liste reference'!$B$7:$D$904,1,0)),VLOOKUP($A26,'liste reference'!$A$7:$D$904,2,0))</f>
        <v>Melosira sp.</v>
      </c>
      <c r="E26" s="501" t="e">
        <f aca="false">IF(D26="",0,VLOOKUP(D26,D$22:D25,1,0))</f>
        <v>#N/A</v>
      </c>
      <c r="F26" s="508" t="n">
        <f aca="false">($B26*$B$7+$C26*$C$7)/100</f>
        <v>0.7</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10</v>
      </c>
      <c r="J26" s="486" t="n">
        <f aca="false">IF(ISNUMBER(H26),IF(ISERROR(VLOOKUP($A26,'liste reference'!$A$7:$P$904,4,0)),IF(ISERROR(VLOOKUP($A26,'liste reference'!$B$7:$P$904,3,0)),"",VLOOKUP($A26,'liste reference'!$B$7:$P$904,3,0)),VLOOKUP($A26,'liste reference'!$A$7:$P$904,4,0)),"")</f>
        <v>1</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Melosira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8714</v>
      </c>
      <c r="Q26" s="491" t="n">
        <f aca="false">IF(ISTEXT(H26),"",(B26*$B$7/100)+(C26*$C$7/100))</f>
        <v>0.7</v>
      </c>
      <c r="R26" s="492" t="n">
        <f aca="false">IF(OR(ISTEXT(H26),Q26=0),"",IF(Q26&lt;0.1,1,IF(Q26&lt;1,2,IF(Q26&lt;10,3,IF(Q26&lt;50,4,IF(Q26&gt;=50,5,""))))))</f>
        <v>2</v>
      </c>
      <c r="S26" s="492" t="n">
        <f aca="false">IF(ISERROR(R26*I26),0,R26*I26)</f>
        <v>20</v>
      </c>
      <c r="T26" s="492" t="n">
        <f aca="false">IF(ISERROR(R26*I26*J26),0,R26*I26*J26)</f>
        <v>20</v>
      </c>
      <c r="U26" s="506" t="n">
        <f aca="false">IF(ISERROR(R26*J26),0,R26*J26)</f>
        <v>2</v>
      </c>
      <c r="V26" s="493" t="n">
        <v>2</v>
      </c>
      <c r="W26" s="507"/>
      <c r="Y26" s="495" t="str">
        <f aca="false">IF(A26="new.cod","NEWCOD",IF(AND((Z26=""),ISTEXT(A26)),A26,IF(Z26="","",INDEX('liste reference'!$A$7:$A$904,Z26))))</f>
        <v>MELSPX</v>
      </c>
      <c r="Z26" s="284" t="n">
        <f aca="false">IF(ISERROR(MATCH(A26,'liste reference'!$A$7:$A$904,0)),IF(ISERROR(MATCH(A26,'liste reference'!$B$7:$B$904,0)),"",(MATCH(A26,'liste reference'!$B$7:$B$904,0))),(MATCH(A26,'liste reference'!$A$7:$A$904,0)))</f>
        <v>37</v>
      </c>
      <c r="AA26" s="496"/>
      <c r="AB26" s="497"/>
      <c r="AC26" s="497"/>
      <c r="BC26" s="284" t="n">
        <f aca="false">IF(A26="","",1)</f>
        <v>1</v>
      </c>
    </row>
    <row r="27" customFormat="false" ht="12.75" hidden="false" customHeight="false" outlineLevel="0" collapsed="false">
      <c r="A27" s="498" t="s">
        <v>176</v>
      </c>
      <c r="B27" s="499" t="n">
        <v>0.005</v>
      </c>
      <c r="C27" s="500"/>
      <c r="D27" s="501" t="str">
        <f aca="false">IF(ISERROR(VLOOKUP($A27,'liste reference'!$A$7:$D$904,2,0)),IF(ISERROR(VLOOKUP($A27,'liste reference'!$B$7:$D$904,1,0)),"",VLOOKUP($A27,'liste reference'!$B$7:$D$904,1,0)),VLOOKUP($A27,'liste reference'!$A$7:$D$904,2,0))</f>
        <v>Microspora sp.</v>
      </c>
      <c r="E27" s="501" t="e">
        <f aca="false">IF(D27="",0,VLOOKUP(D27,D$22:D26,1,0))</f>
        <v>#N/A</v>
      </c>
      <c r="F27" s="508" t="n">
        <f aca="false">($B27*$B$7+$C27*$C$7)/100</f>
        <v>0.005</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12</v>
      </c>
      <c r="J27" s="486" t="n">
        <f aca="false">IF(ISNUMBER(H27),IF(ISERROR(VLOOKUP($A27,'liste reference'!$A$7:$P$904,4,0)),IF(ISERROR(VLOOKUP($A27,'liste reference'!$B$7:$P$904,3,0)),"",VLOOKUP($A27,'liste reference'!$B$7:$P$904,3,0)),VLOOKUP($A27,'liste reference'!$A$7:$P$904,4,0)),"")</f>
        <v>2</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Microspora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1132</v>
      </c>
      <c r="Q27" s="491" t="n">
        <f aca="false">IF(ISTEXT(H27),"",(B27*$B$7/100)+(C27*$C$7/100))</f>
        <v>0.005</v>
      </c>
      <c r="R27" s="492" t="n">
        <f aca="false">IF(OR(ISTEXT(H27),Q27=0),"",IF(Q27&lt;0.1,1,IF(Q27&lt;1,2,IF(Q27&lt;10,3,IF(Q27&lt;50,4,IF(Q27&gt;=50,5,""))))))</f>
        <v>1</v>
      </c>
      <c r="S27" s="492" t="n">
        <f aca="false">IF(ISERROR(R27*I27),0,R27*I27)</f>
        <v>12</v>
      </c>
      <c r="T27" s="492" t="n">
        <f aca="false">IF(ISERROR(R27*I27*J27),0,R27*I27*J27)</f>
        <v>24</v>
      </c>
      <c r="U27" s="506" t="n">
        <f aca="false">IF(ISERROR(R27*J27),0,R27*J27)</f>
        <v>2</v>
      </c>
      <c r="V27" s="493" t="n">
        <v>2</v>
      </c>
      <c r="W27" s="494"/>
      <c r="Y27" s="495" t="str">
        <f aca="false">IF(A27="new.cod","NEWCOD",IF(AND((Z27=""),ISTEXT(A27)),A27,IF(Z27="","",INDEX('liste reference'!$A$7:$A$904,Z27))))</f>
        <v>MICSPX</v>
      </c>
      <c r="Z27" s="284" t="n">
        <f aca="false">IF(ISERROR(MATCH(A27,'liste reference'!$A$7:$A$904,0)),IF(ISERROR(MATCH(A27,'liste reference'!$B$7:$B$904,0)),"",(MATCH(A27,'liste reference'!$B$7:$B$904,0))),(MATCH(A27,'liste reference'!$A$7:$A$904,0)))</f>
        <v>42</v>
      </c>
      <c r="AA27" s="496"/>
      <c r="AB27" s="497"/>
      <c r="AC27" s="497"/>
      <c r="BC27" s="284" t="n">
        <f aca="false">IF(A27="","",1)</f>
        <v>1</v>
      </c>
    </row>
    <row r="28" customFormat="false" ht="12.75" hidden="false" customHeight="false" outlineLevel="0" collapsed="false">
      <c r="A28" s="498" t="s">
        <v>181</v>
      </c>
      <c r="B28" s="499" t="n">
        <v>0.01</v>
      </c>
      <c r="C28" s="500"/>
      <c r="D28" s="501" t="str">
        <f aca="false">IF(ISERROR(VLOOKUP($A28,'liste reference'!$A$7:$D$904,2,0)),IF(ISERROR(VLOOKUP($A28,'liste reference'!$B$7:$D$904,1,0)),"",VLOOKUP($A28,'liste reference'!$B$7:$D$904,1,0)),VLOOKUP($A28,'liste reference'!$A$7:$D$904,2,0))</f>
        <v>Mougeotia sp.</v>
      </c>
      <c r="E28" s="501" t="e">
        <f aca="false">IF(D28="",0,VLOOKUP(D28,D$22:D27,1,0))</f>
        <v>#N/A</v>
      </c>
      <c r="F28" s="508" t="n">
        <f aca="false">($B28*$B$7+$C28*$C$7)/100</f>
        <v>0.01</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13</v>
      </c>
      <c r="J28" s="486" t="n">
        <f aca="false">IF(ISNUMBER(H28),IF(ISERROR(VLOOKUP($A28,'liste reference'!$A$7:$P$904,4,0)),IF(ISERROR(VLOOKUP($A28,'liste reference'!$B$7:$P$904,3,0)),"",VLOOKUP($A28,'liste reference'!$B$7:$P$904,3,0)),VLOOKUP($A28,'liste reference'!$A$7:$P$904,4,0)),"")</f>
        <v>2</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Mougeotia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1146</v>
      </c>
      <c r="Q28" s="491" t="n">
        <f aca="false">IF(ISTEXT(H28),"",(B28*$B$7/100)+(C28*$C$7/100))</f>
        <v>0.01</v>
      </c>
      <c r="R28" s="492" t="n">
        <f aca="false">IF(OR(ISTEXT(H28),Q28=0),"",IF(Q28&lt;0.1,1,IF(Q28&lt;1,2,IF(Q28&lt;10,3,IF(Q28&lt;50,4,IF(Q28&gt;=50,5,""))))))</f>
        <v>1</v>
      </c>
      <c r="S28" s="492" t="n">
        <f aca="false">IF(ISERROR(R28*I28),0,R28*I28)</f>
        <v>13</v>
      </c>
      <c r="T28" s="492" t="n">
        <f aca="false">IF(ISERROR(R28*I28*J28),0,R28*I28*J28)</f>
        <v>26</v>
      </c>
      <c r="U28" s="506" t="n">
        <f aca="false">IF(ISERROR(R28*J28),0,R28*J28)</f>
        <v>2</v>
      </c>
      <c r="V28" s="493" t="n">
        <v>2</v>
      </c>
      <c r="W28" s="494"/>
      <c r="Y28" s="495" t="str">
        <f aca="false">IF(A28="new.cod","NEWCOD",IF(AND((Z28=""),ISTEXT(A28)),A28,IF(Z28="","",INDEX('liste reference'!$A$7:$A$904,Z28))))</f>
        <v>MOUSPX</v>
      </c>
      <c r="Z28" s="284" t="n">
        <f aca="false">IF(ISERROR(MATCH(A28,'liste reference'!$A$7:$A$904,0)),IF(ISERROR(MATCH(A28,'liste reference'!$B$7:$B$904,0)),"",(MATCH(A28,'liste reference'!$B$7:$B$904,0))),(MATCH(A28,'liste reference'!$A$7:$A$904,0)))</f>
        <v>44</v>
      </c>
      <c r="AA28" s="496"/>
      <c r="AB28" s="497"/>
      <c r="AC28" s="497"/>
      <c r="BC28" s="284" t="n">
        <f aca="false">IF(A28="","",1)</f>
        <v>1</v>
      </c>
    </row>
    <row r="29" customFormat="false" ht="12.75" hidden="false" customHeight="false" outlineLevel="0" collapsed="false">
      <c r="A29" s="498" t="s">
        <v>229</v>
      </c>
      <c r="B29" s="499" t="n">
        <v>0.005</v>
      </c>
      <c r="C29" s="500"/>
      <c r="D29" s="501" t="str">
        <f aca="false">IF(ISERROR(VLOOKUP($A29,'liste reference'!$A$7:$D$904,2,0)),IF(ISERROR(VLOOKUP($A29,'liste reference'!$B$7:$D$904,1,0)),"",VLOOKUP($A29,'liste reference'!$B$7:$D$904,1,0)),VLOOKUP($A29,'liste reference'!$A$7:$D$904,2,0))</f>
        <v>Phormidium sp.</v>
      </c>
      <c r="E29" s="501" t="e">
        <f aca="false">IF(D29="",0,VLOOKUP(D29,D$22:D28,1,0))</f>
        <v>#N/A</v>
      </c>
      <c r="F29" s="508" t="n">
        <f aca="false">($B29*$B$7+$C29*$C$7)/100</f>
        <v>0.005</v>
      </c>
      <c r="G29" s="503" t="str">
        <f aca="false">IF(A29="","",IF(ISERROR(VLOOKUP($A29,'liste reference'!$A$7:$P$904,13,0)),IF(ISERROR(VLOOKUP($A29,'liste reference'!$B$7:$P$904,12,0)),"    -",VLOOKUP($A29,'liste reference'!$B$7:$P$904,12,0)),VLOOKUP($A29,'liste reference'!$A$7:$P$904,13,0)))</f>
        <v>ALG</v>
      </c>
      <c r="H29" s="484" t="n">
        <f aca="false">IF(A29="","x",IF(ISERROR(VLOOKUP($A29,'liste reference'!$A$7:$P$904,14,0)),IF(ISERROR(VLOOKUP($A29,'liste reference'!$B$7:$P$904,13,0)),"x",VLOOKUP($A29,'liste reference'!$B$7:$P$904,13,0)),VLOOKUP($A29,'liste reference'!$A$7:$P$904,14,0)))</f>
        <v>2</v>
      </c>
      <c r="I29" s="504" t="n">
        <f aca="false">IF(ISNUMBER(H29),IF(ISERROR(VLOOKUP($A29,'liste reference'!$A$7:$P$904,3,0)),IF(ISERROR(VLOOKUP($A29,'liste reference'!$B$7:$P$904,2,0)),"",VLOOKUP($A29,'liste reference'!$B$7:$P$904,2,0)),VLOOKUP($A29,'liste reference'!$A$7:$P$904,3,0)),"")</f>
        <v>13</v>
      </c>
      <c r="J29" s="486" t="n">
        <f aca="false">IF(ISNUMBER(H29),IF(ISERROR(VLOOKUP($A29,'liste reference'!$A$7:$P$904,4,0)),IF(ISERROR(VLOOKUP($A29,'liste reference'!$B$7:$P$904,3,0)),"",VLOOKUP($A29,'liste reference'!$B$7:$P$904,3,0)),VLOOKUP($A29,'liste reference'!$A$7:$P$904,4,0)),"")</f>
        <v>2</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6414</v>
      </c>
      <c r="Q29" s="491" t="n">
        <f aca="false">IF(ISTEXT(H29),"",(B29*$B$7/100)+(C29*$C$7/100))</f>
        <v>0.005</v>
      </c>
      <c r="R29" s="492" t="n">
        <f aca="false">IF(OR(ISTEXT(H29),Q29=0),"",IF(Q29&lt;0.1,1,IF(Q29&lt;1,2,IF(Q29&lt;10,3,IF(Q29&lt;50,4,IF(Q29&gt;=50,5,""))))))</f>
        <v>1</v>
      </c>
      <c r="S29" s="492" t="n">
        <f aca="false">IF(ISERROR(R29*I29),0,R29*I29)</f>
        <v>13</v>
      </c>
      <c r="T29" s="492" t="n">
        <f aca="false">IF(ISERROR(R29*I29*J29),0,R29*I29*J29)</f>
        <v>26</v>
      </c>
      <c r="U29" s="506" t="n">
        <f aca="false">IF(ISERROR(R29*J29),0,R29*J29)</f>
        <v>2</v>
      </c>
      <c r="V29" s="493" t="n">
        <v>2</v>
      </c>
      <c r="W29" s="494"/>
      <c r="Y29" s="495" t="str">
        <f aca="false">IF(A29="new.cod","NEWCOD",IF(AND((Z29=""),ISTEXT(A29)),A29,IF(Z29="","",INDEX('liste reference'!$A$7:$A$904,Z29))))</f>
        <v>PHOSPX</v>
      </c>
      <c r="Z29" s="284" t="n">
        <f aca="false">IF(ISERROR(MATCH(A29,'liste reference'!$A$7:$A$904,0)),IF(ISERROR(MATCH(A29,'liste reference'!$B$7:$B$904,0)),"",(MATCH(A29,'liste reference'!$B$7:$B$904,0))),(MATCH(A29,'liste reference'!$A$7:$A$904,0)))</f>
        <v>58</v>
      </c>
      <c r="AA29" s="496"/>
      <c r="AB29" s="497"/>
      <c r="AC29" s="497"/>
      <c r="BC29" s="284" t="n">
        <f aca="false">IF(A29="","",1)</f>
        <v>1</v>
      </c>
    </row>
    <row r="30" customFormat="false" ht="12.75" hidden="false" customHeight="false" outlineLevel="0" collapsed="false">
      <c r="A30" s="498" t="s">
        <v>242</v>
      </c>
      <c r="B30" s="499" t="n">
        <v>0.7</v>
      </c>
      <c r="C30" s="500"/>
      <c r="D30" s="501" t="str">
        <f aca="false">IF(ISERROR(VLOOKUP($A30,'liste reference'!$A$7:$D$904,2,0)),IF(ISERROR(VLOOKUP($A30,'liste reference'!$B$7:$D$904,1,0)),"",VLOOKUP($A30,'liste reference'!$B$7:$D$904,1,0)),VLOOKUP($A30,'liste reference'!$A$7:$D$904,2,0))</f>
        <v>Rhizoclonium sp.</v>
      </c>
      <c r="E30" s="501" t="e">
        <f aca="false">IF(D30="",0,VLOOKUP(D30,D$22:D29,1,0))</f>
        <v>#N/A</v>
      </c>
      <c r="F30" s="508" t="n">
        <f aca="false">($B30*$B$7+$C30*$C$7)/100</f>
        <v>0.7</v>
      </c>
      <c r="G30" s="503" t="str">
        <f aca="false">IF(A30="","",IF(ISERROR(VLOOKUP($A30,'liste reference'!$A$7:$P$904,13,0)),IF(ISERROR(VLOOKUP($A30,'liste reference'!$B$7:$P$904,12,0)),"    -",VLOOKUP($A30,'liste reference'!$B$7:$P$904,12,0)),VLOOKUP($A30,'liste reference'!$A$7:$P$904,13,0)))</f>
        <v>ALG</v>
      </c>
      <c r="H30" s="484" t="n">
        <f aca="false">IF(A30="","x",IF(ISERROR(VLOOKUP($A30,'liste reference'!$A$7:$P$904,14,0)),IF(ISERROR(VLOOKUP($A30,'liste reference'!$B$7:$P$904,13,0)),"x",VLOOKUP($A30,'liste reference'!$B$7:$P$904,13,0)),VLOOKUP($A30,'liste reference'!$A$7:$P$904,14,0)))</f>
        <v>2</v>
      </c>
      <c r="I30" s="504" t="n">
        <f aca="false">IF(ISNUMBER(H30),IF(ISERROR(VLOOKUP($A30,'liste reference'!$A$7:$P$904,3,0)),IF(ISERROR(VLOOKUP($A30,'liste reference'!$B$7:$P$904,2,0)),"",VLOOKUP($A30,'liste reference'!$B$7:$P$904,2,0)),VLOOKUP($A30,'liste reference'!$A$7:$P$904,3,0)),"")</f>
        <v>4</v>
      </c>
      <c r="J30" s="486" t="n">
        <f aca="false">IF(ISNUMBER(H30),IF(ISERROR(VLOOKUP($A30,'liste reference'!$A$7:$P$904,4,0)),IF(ISERROR(VLOOKUP($A30,'liste reference'!$B$7:$P$904,3,0)),"",VLOOKUP($A30,'liste reference'!$B$7:$P$904,3,0)),VLOOKUP($A30,'liste reference'!$A$7:$P$904,4,0)),"")</f>
        <v>2</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Rhizoclonium sp.</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1125</v>
      </c>
      <c r="Q30" s="491" t="n">
        <f aca="false">IF(ISTEXT(H30),"",(B30*$B$7/100)+(C30*$C$7/100))</f>
        <v>0.7</v>
      </c>
      <c r="R30" s="492" t="n">
        <f aca="false">IF(OR(ISTEXT(H30),Q30=0),"",IF(Q30&lt;0.1,1,IF(Q30&lt;1,2,IF(Q30&lt;10,3,IF(Q30&lt;50,4,IF(Q30&gt;=50,5,""))))))</f>
        <v>2</v>
      </c>
      <c r="S30" s="492" t="n">
        <f aca="false">IF(ISERROR(R30*I30),0,R30*I30)</f>
        <v>8</v>
      </c>
      <c r="T30" s="492" t="n">
        <f aca="false">IF(ISERROR(R30*I30*J30),0,R30*I30*J30)</f>
        <v>16</v>
      </c>
      <c r="U30" s="506" t="n">
        <f aca="false">IF(ISERROR(R30*J30),0,R30*J30)</f>
        <v>4</v>
      </c>
      <c r="V30" s="493" t="n">
        <v>4</v>
      </c>
      <c r="W30" s="494"/>
      <c r="Y30" s="495" t="str">
        <f aca="false">IF(A30="new.cod","NEWCOD",IF(AND((Z30=""),ISTEXT(A30)),A30,IF(Z30="","",INDEX('liste reference'!$A$7:$A$904,Z30))))</f>
        <v>RHISPX</v>
      </c>
      <c r="Z30" s="284" t="n">
        <f aca="false">IF(ISERROR(MATCH(A30,'liste reference'!$A$7:$A$904,0)),IF(ISERROR(MATCH(A30,'liste reference'!$B$7:$B$904,0)),"",(MATCH(A30,'liste reference'!$B$7:$B$904,0))),(MATCH(A30,'liste reference'!$A$7:$A$904,0)))</f>
        <v>63</v>
      </c>
      <c r="AA30" s="496"/>
      <c r="AB30" s="497"/>
      <c r="AC30" s="497"/>
      <c r="BC30" s="284" t="n">
        <f aca="false">IF(A30="","",1)</f>
        <v>1</v>
      </c>
    </row>
    <row r="31" customFormat="false" ht="12.75" hidden="false" customHeight="false" outlineLevel="0" collapsed="false">
      <c r="A31" s="498" t="s">
        <v>259</v>
      </c>
      <c r="B31" s="499" t="n">
        <v>0.15</v>
      </c>
      <c r="C31" s="500"/>
      <c r="D31" s="501" t="str">
        <f aca="false">IF(ISERROR(VLOOKUP($A31,'liste reference'!$A$7:$D$904,2,0)),IF(ISERROR(VLOOKUP($A31,'liste reference'!$B$7:$D$904,1,0)),"",VLOOKUP($A31,'liste reference'!$B$7:$D$904,1,0)),VLOOKUP($A31,'liste reference'!$A$7:$D$904,2,0))</f>
        <v>Spirogyra sp.</v>
      </c>
      <c r="E31" s="501" t="e">
        <f aca="false">IF(D31="",0,VLOOKUP(D31,D$22:D30,1,0))</f>
        <v>#N/A</v>
      </c>
      <c r="F31" s="508" t="n">
        <f aca="false">($B31*$B$7+$C31*$C$7)/100</f>
        <v>0.15</v>
      </c>
      <c r="G31" s="503" t="str">
        <f aca="false">IF(A31="","",IF(ISERROR(VLOOKUP($A31,'liste reference'!$A$7:$P$904,13,0)),IF(ISERROR(VLOOKUP($A31,'liste reference'!$B$7:$P$904,12,0)),"    -",VLOOKUP($A31,'liste reference'!$B$7:$P$904,12,0)),VLOOKUP($A31,'liste reference'!$A$7:$P$904,13,0)))</f>
        <v>ALG</v>
      </c>
      <c r="H31" s="484" t="n">
        <f aca="false">IF(A31="","x",IF(ISERROR(VLOOKUP($A31,'liste reference'!$A$7:$P$904,14,0)),IF(ISERROR(VLOOKUP($A31,'liste reference'!$B$7:$P$904,13,0)),"x",VLOOKUP($A31,'liste reference'!$B$7:$P$904,13,0)),VLOOKUP($A31,'liste reference'!$A$7:$P$904,14,0)))</f>
        <v>2</v>
      </c>
      <c r="I31" s="504" t="n">
        <f aca="false">IF(ISNUMBER(H31),IF(ISERROR(VLOOKUP($A31,'liste reference'!$A$7:$P$904,3,0)),IF(ISERROR(VLOOKUP($A31,'liste reference'!$B$7:$P$904,2,0)),"",VLOOKUP($A31,'liste reference'!$B$7:$P$904,2,0)),VLOOKUP($A31,'liste reference'!$A$7:$P$904,3,0)),"")</f>
        <v>10</v>
      </c>
      <c r="J31" s="486" t="n">
        <f aca="false">IF(ISNUMBER(H31),IF(ISERROR(VLOOKUP($A31,'liste reference'!$A$7:$P$904,4,0)),IF(ISERROR(VLOOKUP($A31,'liste reference'!$B$7:$P$904,3,0)),"",VLOOKUP($A31,'liste reference'!$B$7:$P$904,3,0)),VLOOKUP($A31,'liste reference'!$A$7:$P$904,4,0)),"")</f>
        <v>1</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Spirogyra sp.</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1147</v>
      </c>
      <c r="Q31" s="491" t="n">
        <f aca="false">IF(ISTEXT(H31),"",(B31*$B$7/100)+(C31*$C$7/100))</f>
        <v>0.15</v>
      </c>
      <c r="R31" s="492" t="n">
        <f aca="false">IF(OR(ISTEXT(H31),Q31=0),"",IF(Q31&lt;0.1,1,IF(Q31&lt;1,2,IF(Q31&lt;10,3,IF(Q31&lt;50,4,IF(Q31&gt;=50,5,""))))))</f>
        <v>2</v>
      </c>
      <c r="S31" s="492" t="n">
        <f aca="false">IF(ISERROR(R31*I31),0,R31*I31)</f>
        <v>20</v>
      </c>
      <c r="T31" s="492" t="n">
        <f aca="false">IF(ISERROR(R31*I31*J31),0,R31*I31*J31)</f>
        <v>20</v>
      </c>
      <c r="U31" s="506" t="n">
        <f aca="false">IF(ISERROR(R31*J31),0,R31*J31)</f>
        <v>2</v>
      </c>
      <c r="V31" s="493" t="n">
        <v>2</v>
      </c>
      <c r="W31" s="494"/>
      <c r="Y31" s="495" t="str">
        <f aca="false">IF(A31="new.cod","NEWCOD",IF(AND((Z31=""),ISTEXT(A31)),A31,IF(Z31="","",INDEX('liste reference'!$A$7:$A$904,Z31))))</f>
        <v>SPISPX</v>
      </c>
      <c r="Z31" s="284" t="n">
        <f aca="false">IF(ISERROR(MATCH(A31,'liste reference'!$A$7:$A$904,0)),IF(ISERROR(MATCH(A31,'liste reference'!$B$7:$B$904,0)),"",(MATCH(A31,'liste reference'!$B$7:$B$904,0))),(MATCH(A31,'liste reference'!$A$7:$A$904,0)))</f>
        <v>70</v>
      </c>
      <c r="AA31" s="496"/>
      <c r="AB31" s="497"/>
      <c r="AC31" s="497"/>
      <c r="BC31" s="284" t="n">
        <f aca="false">IF(A31="","",1)</f>
        <v>1</v>
      </c>
    </row>
    <row r="32" customFormat="false" ht="12.75" hidden="false" customHeight="false" outlineLevel="0" collapsed="false">
      <c r="A32" s="498" t="s">
        <v>296</v>
      </c>
      <c r="B32" s="499" t="n">
        <v>0.01</v>
      </c>
      <c r="C32" s="500"/>
      <c r="D32" s="501" t="str">
        <f aca="false">IF(ISERROR(VLOOKUP($A32,'liste reference'!$A$7:$D$904,2,0)),IF(ISERROR(VLOOKUP($A32,'liste reference'!$B$7:$D$904,1,0)),"",VLOOKUP($A32,'liste reference'!$B$7:$D$904,1,0)),VLOOKUP($A32,'liste reference'!$A$7:$D$904,2,0))</f>
        <v>Tribonema sp.</v>
      </c>
      <c r="E32" s="501" t="e">
        <f aca="false">IF(D32="",0,VLOOKUP(D32,D$22:D31,1,0))</f>
        <v>#N/A</v>
      </c>
      <c r="F32" s="508" t="n">
        <f aca="false">($B32*$B$7+$C32*$C$7)/100</f>
        <v>0.01</v>
      </c>
      <c r="G32" s="503" t="str">
        <f aca="false">IF(A32="","",IF(ISERROR(VLOOKUP($A32,'liste reference'!$A$7:$P$904,13,0)),IF(ISERROR(VLOOKUP($A32,'liste reference'!$B$7:$P$904,12,0)),"    -",VLOOKUP($A32,'liste reference'!$B$7:$P$904,12,0)),VLOOKUP($A32,'liste reference'!$A$7:$P$904,13,0)))</f>
        <v>ALG</v>
      </c>
      <c r="H32" s="484" t="n">
        <f aca="false">IF(A32="","x",IF(ISERROR(VLOOKUP($A32,'liste reference'!$A$7:$P$904,14,0)),IF(ISERROR(VLOOKUP($A32,'liste reference'!$B$7:$P$904,13,0)),"x",VLOOKUP($A32,'liste reference'!$B$7:$P$904,13,0)),VLOOKUP($A32,'liste reference'!$A$7:$P$904,14,0)))</f>
        <v>2</v>
      </c>
      <c r="I32" s="504" t="n">
        <f aca="false">IF(ISNUMBER(H32),IF(ISERROR(VLOOKUP($A32,'liste reference'!$A$7:$P$904,3,0)),IF(ISERROR(VLOOKUP($A32,'liste reference'!$B$7:$P$904,2,0)),"",VLOOKUP($A32,'liste reference'!$B$7:$P$904,2,0)),VLOOKUP($A32,'liste reference'!$A$7:$P$904,3,0)),"")</f>
        <v>11</v>
      </c>
      <c r="J32" s="486" t="n">
        <f aca="false">IF(ISNUMBER(H32),IF(ISERROR(VLOOKUP($A32,'liste reference'!$A$7:$P$904,4,0)),IF(ISERROR(VLOOKUP($A32,'liste reference'!$B$7:$P$904,3,0)),"",VLOOKUP($A32,'liste reference'!$B$7:$P$904,3,0)),VLOOKUP($A32,'liste reference'!$A$7:$P$904,4,0)),"")</f>
        <v>2</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Tribonema sp.</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1167</v>
      </c>
      <c r="Q32" s="491" t="n">
        <f aca="false">IF(ISTEXT(H32),"",(B32*$B$7/100)+(C32*$C$7/100))</f>
        <v>0.01</v>
      </c>
      <c r="R32" s="492" t="n">
        <f aca="false">IF(OR(ISTEXT(H32),Q32=0),"",IF(Q32&lt;0.1,1,IF(Q32&lt;1,2,IF(Q32&lt;10,3,IF(Q32&lt;50,4,IF(Q32&gt;=50,5,""))))))</f>
        <v>1</v>
      </c>
      <c r="S32" s="492" t="n">
        <f aca="false">IF(ISERROR(R32*I32),0,R32*I32)</f>
        <v>11</v>
      </c>
      <c r="T32" s="492" t="n">
        <f aca="false">IF(ISERROR(R32*I32*J32),0,R32*I32*J32)</f>
        <v>22</v>
      </c>
      <c r="U32" s="506" t="n">
        <f aca="false">IF(ISERROR(R32*J32),0,R32*J32)</f>
        <v>2</v>
      </c>
      <c r="V32" s="493" t="n">
        <v>2</v>
      </c>
      <c r="W32" s="494"/>
      <c r="Y32" s="495" t="str">
        <f aca="false">IF(A32="new.cod","NEWCOD",IF(AND((Z32=""),ISTEXT(A32)),A32,IF(Z32="","",INDEX('liste reference'!$A$7:$A$904,Z32))))</f>
        <v>TRISPX</v>
      </c>
      <c r="Z32" s="284" t="n">
        <f aca="false">IF(ISERROR(MATCH(A32,'liste reference'!$A$7:$A$904,0)),IF(ISERROR(MATCH(A32,'liste reference'!$B$7:$B$904,0)),"",(MATCH(A32,'liste reference'!$B$7:$B$904,0))),(MATCH(A32,'liste reference'!$A$7:$A$904,0)))</f>
        <v>81</v>
      </c>
      <c r="AA32" s="496"/>
      <c r="AB32" s="497"/>
      <c r="AC32" s="497"/>
      <c r="BC32" s="284" t="n">
        <f aca="false">IF(A32="","",1)</f>
        <v>1</v>
      </c>
    </row>
    <row r="33" customFormat="false" ht="12.75" hidden="false" customHeight="false" outlineLevel="0" collapsed="false">
      <c r="A33" s="498" t="s">
        <v>302</v>
      </c>
      <c r="B33" s="499" t="n">
        <v>3.3</v>
      </c>
      <c r="C33" s="500"/>
      <c r="D33" s="501" t="str">
        <f aca="false">IF(ISERROR(VLOOKUP($A33,'liste reference'!$A$7:$D$904,2,0)),IF(ISERROR(VLOOKUP($A33,'liste reference'!$B$7:$D$904,1,0)),"",VLOOKUP($A33,'liste reference'!$B$7:$D$904,1,0)),VLOOKUP($A33,'liste reference'!$A$7:$D$904,2,0))</f>
        <v>Vaucheria sp.</v>
      </c>
      <c r="E33" s="501" t="e">
        <f aca="false">IF(D33="",0,VLOOKUP(D33,D$22:D32,1,0))</f>
        <v>#N/A</v>
      </c>
      <c r="F33" s="508" t="n">
        <f aca="false">($B33*$B$7+$C33*$C$7)/100</f>
        <v>3.3</v>
      </c>
      <c r="G33" s="503" t="str">
        <f aca="false">IF(A33="","",IF(ISERROR(VLOOKUP($A33,'liste reference'!$A$7:$P$904,13,0)),IF(ISERROR(VLOOKUP($A33,'liste reference'!$B$7:$P$904,12,0)),"    -",VLOOKUP($A33,'liste reference'!$B$7:$P$904,12,0)),VLOOKUP($A33,'liste reference'!$A$7:$P$904,13,0)))</f>
        <v>ALG</v>
      </c>
      <c r="H33" s="484" t="n">
        <f aca="false">IF(A33="","x",IF(ISERROR(VLOOKUP($A33,'liste reference'!$A$7:$P$904,14,0)),IF(ISERROR(VLOOKUP($A33,'liste reference'!$B$7:$P$904,13,0)),"x",VLOOKUP($A33,'liste reference'!$B$7:$P$904,13,0)),VLOOKUP($A33,'liste reference'!$A$7:$P$904,14,0)))</f>
        <v>2</v>
      </c>
      <c r="I33" s="504" t="n">
        <f aca="false">IF(ISNUMBER(H33),IF(ISERROR(VLOOKUP($A33,'liste reference'!$A$7:$P$904,3,0)),IF(ISERROR(VLOOKUP($A33,'liste reference'!$B$7:$P$904,2,0)),"",VLOOKUP($A33,'liste reference'!$B$7:$P$904,2,0)),VLOOKUP($A33,'liste reference'!$A$7:$P$904,3,0)),"")</f>
        <v>4</v>
      </c>
      <c r="J33" s="486" t="n">
        <f aca="false">IF(ISNUMBER(H33),IF(ISERROR(VLOOKUP($A33,'liste reference'!$A$7:$P$904,4,0)),IF(ISERROR(VLOOKUP($A33,'liste reference'!$B$7:$P$904,3,0)),"",VLOOKUP($A33,'liste reference'!$B$7:$P$904,3,0)),VLOOKUP($A33,'liste reference'!$A$7:$P$904,4,0)),"")</f>
        <v>1</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Vaucheria sp.</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6193</v>
      </c>
      <c r="Q33" s="491" t="n">
        <f aca="false">IF(ISTEXT(H33),"",(B33*$B$7/100)+(C33*$C$7/100))</f>
        <v>3.3</v>
      </c>
      <c r="R33" s="492" t="n">
        <f aca="false">IF(OR(ISTEXT(H33),Q33=0),"",IF(Q33&lt;0.1,1,IF(Q33&lt;1,2,IF(Q33&lt;10,3,IF(Q33&lt;50,4,IF(Q33&gt;=50,5,""))))))</f>
        <v>3</v>
      </c>
      <c r="S33" s="492" t="n">
        <f aca="false">IF(ISERROR(R33*I33),0,R33*I33)</f>
        <v>12</v>
      </c>
      <c r="T33" s="492" t="n">
        <f aca="false">IF(ISERROR(R33*I33*J33),0,R33*I33*J33)</f>
        <v>12</v>
      </c>
      <c r="U33" s="506" t="n">
        <f aca="false">IF(ISERROR(R33*J33),0,R33*J33)</f>
        <v>3</v>
      </c>
      <c r="V33" s="493" t="n">
        <v>3</v>
      </c>
      <c r="W33" s="494"/>
      <c r="Y33" s="495" t="str">
        <f aca="false">IF(A33="new.cod","NEWCOD",IF(AND((Z33=""),ISTEXT(A33)),A33,IF(Z33="","",INDEX('liste reference'!$A$7:$A$904,Z33))))</f>
        <v>VAUSPX</v>
      </c>
      <c r="Z33" s="284" t="n">
        <f aca="false">IF(ISERROR(MATCH(A33,'liste reference'!$A$7:$A$904,0)),IF(ISERROR(MATCH(A33,'liste reference'!$B$7:$B$904,0)),"",(MATCH(A33,'liste reference'!$B$7:$B$904,0))),(MATCH(A33,'liste reference'!$A$7:$A$904,0)))</f>
        <v>83</v>
      </c>
      <c r="AA33" s="496"/>
      <c r="AB33" s="497"/>
      <c r="AC33" s="497"/>
      <c r="BC33" s="284" t="n">
        <f aca="false">IF(A33="","",1)</f>
        <v>1</v>
      </c>
    </row>
    <row r="34" customFormat="false" ht="12.75" hidden="false" customHeight="false" outlineLevel="0" collapsed="false">
      <c r="A34" s="498" t="s">
        <v>737</v>
      </c>
      <c r="B34" s="499" t="n">
        <v>8</v>
      </c>
      <c r="C34" s="500"/>
      <c r="D34" s="501" t="str">
        <f aca="false">IF(ISERROR(VLOOKUP($A34,'liste reference'!$A$7:$D$904,2,0)),IF(ISERROR(VLOOKUP($A34,'liste reference'!$B$7:$D$904,1,0)),"",VLOOKUP($A34,'liste reference'!$B$7:$D$904,1,0)),VLOOKUP($A34,'liste reference'!$A$7:$D$904,2,0))</f>
        <v>Cinclidotus aquaticus</v>
      </c>
      <c r="E34" s="501" t="e">
        <f aca="false">IF(D34="",0,VLOOKUP(D34,D$22:D33,1,0))</f>
        <v>#N/A</v>
      </c>
      <c r="F34" s="508" t="n">
        <f aca="false">($B34*$B$7+$C34*$C$7)/100</f>
        <v>8</v>
      </c>
      <c r="G34" s="503" t="str">
        <f aca="false">IF(A34="","",IF(ISERROR(VLOOKUP($A34,'liste reference'!$A$7:$P$904,13,0)),IF(ISERROR(VLOOKUP($A34,'liste reference'!$B$7:$P$904,12,0)),"    -",VLOOKUP($A34,'liste reference'!$B$7:$P$904,12,0)),VLOOKUP($A34,'liste reference'!$A$7:$P$904,13,0)))</f>
        <v>BRm</v>
      </c>
      <c r="H34" s="484" t="n">
        <f aca="false">IF(A34="","x",IF(ISERROR(VLOOKUP($A34,'liste reference'!$A$7:$P$904,14,0)),IF(ISERROR(VLOOKUP($A34,'liste reference'!$B$7:$P$904,13,0)),"x",VLOOKUP($A34,'liste reference'!$B$7:$P$904,13,0)),VLOOKUP($A34,'liste reference'!$A$7:$P$904,14,0)))</f>
        <v>5</v>
      </c>
      <c r="I34" s="504" t="n">
        <f aca="false">IF(ISNUMBER(H34),IF(ISERROR(VLOOKUP($A34,'liste reference'!$A$7:$P$904,3,0)),IF(ISERROR(VLOOKUP($A34,'liste reference'!$B$7:$P$904,2,0)),"",VLOOKUP($A34,'liste reference'!$B$7:$P$904,2,0)),VLOOKUP($A34,'liste reference'!$A$7:$P$904,3,0)),"")</f>
        <v>15</v>
      </c>
      <c r="J34" s="486" t="n">
        <f aca="false">IF(ISNUMBER(H34),IF(ISERROR(VLOOKUP($A34,'liste reference'!$A$7:$P$904,4,0)),IF(ISERROR(VLOOKUP($A34,'liste reference'!$B$7:$P$904,3,0)),"",VLOOKUP($A34,'liste reference'!$B$7:$P$904,3,0)),VLOOKUP($A34,'liste reference'!$A$7:$P$904,4,0)),"")</f>
        <v>2</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Cinclidotus aquaticus</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1318</v>
      </c>
      <c r="Q34" s="491" t="n">
        <f aca="false">IF(ISTEXT(H34),"",(B34*$B$7/100)+(C34*$C$7/100))</f>
        <v>8</v>
      </c>
      <c r="R34" s="492" t="n">
        <f aca="false">IF(OR(ISTEXT(H34),Q34=0),"",IF(Q34&lt;0.1,1,IF(Q34&lt;1,2,IF(Q34&lt;10,3,IF(Q34&lt;50,4,IF(Q34&gt;=50,5,""))))))</f>
        <v>3</v>
      </c>
      <c r="S34" s="492" t="n">
        <f aca="false">IF(ISERROR(R34*I34),0,R34*I34)</f>
        <v>45</v>
      </c>
      <c r="T34" s="492" t="n">
        <f aca="false">IF(ISERROR(R34*I34*J34),0,R34*I34*J34)</f>
        <v>90</v>
      </c>
      <c r="U34" s="506" t="n">
        <f aca="false">IF(ISERROR(R34*J34),0,R34*J34)</f>
        <v>6</v>
      </c>
      <c r="V34" s="493" t="n">
        <v>6</v>
      </c>
      <c r="W34" s="494"/>
      <c r="X34" s="494"/>
      <c r="Y34" s="495" t="str">
        <f aca="false">IF(A34="new.cod","NEWCOD",IF(AND((Z34=""),ISTEXT(A34)),A34,IF(Z34="","",INDEX('liste reference'!$A$7:$A$904,Z34))))</f>
        <v>CINAQU</v>
      </c>
      <c r="Z34" s="284" t="n">
        <f aca="false">IF(ISERROR(MATCH(A34,'liste reference'!$A$7:$A$904,0)),IF(ISERROR(MATCH(A34,'liste reference'!$B$7:$B$904,0)),"",(MATCH(A34,'liste reference'!$B$7:$B$904,0))),(MATCH(A34,'liste reference'!$A$7:$A$904,0)))</f>
        <v>171</v>
      </c>
      <c r="AA34" s="496"/>
      <c r="AB34" s="497"/>
      <c r="AC34" s="497"/>
      <c r="BC34" s="284" t="n">
        <f aca="false">IF(A34="","",1)</f>
        <v>1</v>
      </c>
    </row>
    <row r="35" customFormat="false" ht="12.75" hidden="false" customHeight="false" outlineLevel="0" collapsed="false">
      <c r="A35" s="498" t="s">
        <v>766</v>
      </c>
      <c r="B35" s="499" t="n">
        <v>0.9</v>
      </c>
      <c r="C35" s="500"/>
      <c r="D35" s="501" t="str">
        <f aca="false">IF(ISERROR(VLOOKUP($A35,'liste reference'!$A$7:$D$904,2,0)),IF(ISERROR(VLOOKUP($A35,'liste reference'!$B$7:$D$904,1,0)),"",VLOOKUP($A35,'liste reference'!$B$7:$D$904,1,0)),VLOOKUP($A35,'liste reference'!$A$7:$D$904,2,0))</f>
        <v>Cratoneuron filicinum</v>
      </c>
      <c r="E35" s="501" t="e">
        <f aca="false">IF(D35="",0,VLOOKUP(D35,D$22:D34,1,0))</f>
        <v>#N/A</v>
      </c>
      <c r="F35" s="508" t="n">
        <f aca="false">($B35*$B$7+$C35*$C$7)/100</f>
        <v>0.9</v>
      </c>
      <c r="G35" s="503" t="str">
        <f aca="false">IF(A35="","",IF(ISERROR(VLOOKUP($A35,'liste reference'!$A$7:$P$904,13,0)),IF(ISERROR(VLOOKUP($A35,'liste reference'!$B$7:$P$904,12,0)),"    -",VLOOKUP($A35,'liste reference'!$B$7:$P$904,12,0)),VLOOKUP($A35,'liste reference'!$A$7:$P$904,13,0)))</f>
        <v>BRm</v>
      </c>
      <c r="H35" s="484" t="n">
        <f aca="false">IF(A35="","x",IF(ISERROR(VLOOKUP($A35,'liste reference'!$A$7:$P$904,14,0)),IF(ISERROR(VLOOKUP($A35,'liste reference'!$B$7:$P$904,13,0)),"x",VLOOKUP($A35,'liste reference'!$B$7:$P$904,13,0)),VLOOKUP($A35,'liste reference'!$A$7:$P$904,14,0)))</f>
        <v>5</v>
      </c>
      <c r="I35" s="504" t="n">
        <f aca="false">IF(ISNUMBER(H35),IF(ISERROR(VLOOKUP($A35,'liste reference'!$A$7:$P$904,3,0)),IF(ISERROR(VLOOKUP($A35,'liste reference'!$B$7:$P$904,2,0)),"",VLOOKUP($A35,'liste reference'!$B$7:$P$904,2,0)),VLOOKUP($A35,'liste reference'!$A$7:$P$904,3,0)),"")</f>
        <v>18</v>
      </c>
      <c r="J35" s="486" t="n">
        <f aca="false">IF(ISNUMBER(H35),IF(ISERROR(VLOOKUP($A35,'liste reference'!$A$7:$P$904,4,0)),IF(ISERROR(VLOOKUP($A35,'liste reference'!$B$7:$P$904,3,0)),"",VLOOKUP($A35,'liste reference'!$B$7:$P$904,3,0)),VLOOKUP($A35,'liste reference'!$A$7:$P$904,4,0)),"")</f>
        <v>3</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Cratoneuron filicinum</v>
      </c>
      <c r="L35" s="505"/>
      <c r="M35" s="505"/>
      <c r="N35" s="505"/>
      <c r="O35" s="489"/>
      <c r="P35" s="490" t="n">
        <f aca="false">IF($A35="NEWCOD",IF($AC35="","No",$AC35),IF(ISTEXT($E35),"DEJA SAISI !",IF($A35="","",IF(ISERROR(VLOOKUP($A35,'liste reference'!A:S,19,FALSE())),IF(ISERROR(VLOOKUP($A35,'liste reference'!B:S,19,FALSE())),"",VLOOKUP($A35,'liste reference'!B:S,19,FALSE())),VLOOKUP($A35,'liste reference'!A:S,19,FALSE())))))</f>
        <v>1233</v>
      </c>
      <c r="Q35" s="491" t="n">
        <f aca="false">IF(ISTEXT(H35),"",(B35*$B$7/100)+(C35*$C$7/100))</f>
        <v>0.9</v>
      </c>
      <c r="R35" s="492" t="n">
        <f aca="false">IF(OR(ISTEXT(H35),Q35=0),"",IF(Q35&lt;0.1,1,IF(Q35&lt;1,2,IF(Q35&lt;10,3,IF(Q35&lt;50,4,IF(Q35&gt;=50,5,""))))))</f>
        <v>2</v>
      </c>
      <c r="S35" s="492" t="n">
        <f aca="false">IF(ISERROR(R35*I35),0,R35*I35)</f>
        <v>36</v>
      </c>
      <c r="T35" s="492" t="n">
        <f aca="false">IF(ISERROR(R35*I35*J35),0,R35*I35*J35)</f>
        <v>108</v>
      </c>
      <c r="U35" s="506" t="n">
        <f aca="false">IF(ISERROR(R35*J35),0,R35*J35)</f>
        <v>6</v>
      </c>
      <c r="V35" s="493" t="n">
        <v>6</v>
      </c>
      <c r="W35" s="494"/>
      <c r="Y35" s="495" t="str">
        <f aca="false">IF(A35="new.cod","NEWCOD",IF(AND((Z35=""),ISTEXT(A35)),A35,IF(Z35="","",INDEX('liste reference'!$A$7:$A$904,Z35))))</f>
        <v>CRAFIL</v>
      </c>
      <c r="Z35" s="284" t="n">
        <f aca="false">IF(ISERROR(MATCH(A35,'liste reference'!$A$7:$A$904,0)),IF(ISERROR(MATCH(A35,'liste reference'!$B$7:$B$904,0)),"",(MATCH(A35,'liste reference'!$B$7:$B$904,0))),(MATCH(A35,'liste reference'!$A$7:$A$904,0)))</f>
        <v>179</v>
      </c>
      <c r="AA35" s="496"/>
      <c r="AB35" s="497"/>
      <c r="AC35" s="497"/>
      <c r="BC35" s="284" t="n">
        <f aca="false">IF(A35="","",1)</f>
        <v>1</v>
      </c>
    </row>
    <row r="36" customFormat="false" ht="12.75" hidden="false" customHeight="false" outlineLevel="0" collapsed="false">
      <c r="A36" s="498" t="s">
        <v>900</v>
      </c>
      <c r="B36" s="499" t="n">
        <v>20</v>
      </c>
      <c r="C36" s="500"/>
      <c r="D36" s="501" t="str">
        <f aca="false">IF(ISERROR(VLOOKUP($A36,'liste reference'!$A$7:$D$904,2,0)),IF(ISERROR(VLOOKUP($A36,'liste reference'!$B$7:$D$904,1,0)),"",VLOOKUP($A36,'liste reference'!$B$7:$D$904,1,0)),VLOOKUP($A36,'liste reference'!$A$7:$D$904,2,0))</f>
        <v>Fontinalis antipyretica</v>
      </c>
      <c r="E36" s="501" t="e">
        <f aca="false">IF(D36="",0,VLOOKUP(D36,D$22:D35,1,0))</f>
        <v>#N/A</v>
      </c>
      <c r="F36" s="508" t="n">
        <f aca="false">($B36*$B$7+$C36*$C$7)/100</f>
        <v>20</v>
      </c>
      <c r="G36" s="503" t="str">
        <f aca="false">IF(A36="","",IF(ISERROR(VLOOKUP($A36,'liste reference'!$A$7:$P$904,13,0)),IF(ISERROR(VLOOKUP($A36,'liste reference'!$B$7:$P$904,12,0)),"    -",VLOOKUP($A36,'liste reference'!$B$7:$P$904,12,0)),VLOOKUP($A36,'liste reference'!$A$7:$P$904,13,0)))</f>
        <v>BRm</v>
      </c>
      <c r="H36" s="484" t="n">
        <f aca="false">IF(A36="","x",IF(ISERROR(VLOOKUP($A36,'liste reference'!$A$7:$P$904,14,0)),IF(ISERROR(VLOOKUP($A36,'liste reference'!$B$7:$P$904,13,0)),"x",VLOOKUP($A36,'liste reference'!$B$7:$P$904,13,0)),VLOOKUP($A36,'liste reference'!$A$7:$P$904,14,0)))</f>
        <v>5</v>
      </c>
      <c r="I36" s="504" t="n">
        <f aca="false">IF(ISNUMBER(H36),IF(ISERROR(VLOOKUP($A36,'liste reference'!$A$7:$P$904,3,0)),IF(ISERROR(VLOOKUP($A36,'liste reference'!$B$7:$P$904,2,0)),"",VLOOKUP($A36,'liste reference'!$B$7:$P$904,2,0)),VLOOKUP($A36,'liste reference'!$A$7:$P$904,3,0)),"")</f>
        <v>10</v>
      </c>
      <c r="J36" s="486" t="n">
        <f aca="false">IF(ISNUMBER(H36),IF(ISERROR(VLOOKUP($A36,'liste reference'!$A$7:$P$904,4,0)),IF(ISERROR(VLOOKUP($A36,'liste reference'!$B$7:$P$904,3,0)),"",VLOOKUP($A36,'liste reference'!$B$7:$P$904,3,0)),VLOOKUP($A36,'liste reference'!$A$7:$P$904,4,0)),"")</f>
        <v>1</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Fontinalis antipyretica</v>
      </c>
      <c r="L36" s="505"/>
      <c r="M36" s="505"/>
      <c r="N36" s="505"/>
      <c r="O36" s="489"/>
      <c r="P36" s="490" t="n">
        <f aca="false">IF($A36="NEWCOD",IF($AC36="","No",$AC36),IF(ISTEXT($E36),"DEJA SAISI !",IF($A36="","",IF(ISERROR(VLOOKUP($A36,'liste reference'!A:S,19,FALSE())),IF(ISERROR(VLOOKUP($A36,'liste reference'!B:S,19,FALSE())),"",VLOOKUP($A36,'liste reference'!B:S,19,FALSE())),VLOOKUP($A36,'liste reference'!A:S,19,FALSE())))))</f>
        <v>1310</v>
      </c>
      <c r="Q36" s="491" t="n">
        <f aca="false">IF(ISTEXT(H36),"",(B36*$B$7/100)+(C36*$C$7/100))</f>
        <v>20</v>
      </c>
      <c r="R36" s="492" t="n">
        <f aca="false">IF(OR(ISTEXT(H36),Q36=0),"",IF(Q36&lt;0.1,1,IF(Q36&lt;1,2,IF(Q36&lt;10,3,IF(Q36&lt;50,4,IF(Q36&gt;=50,5,""))))))</f>
        <v>4</v>
      </c>
      <c r="S36" s="492" t="n">
        <f aca="false">IF(ISERROR(R36*I36),0,R36*I36)</f>
        <v>40</v>
      </c>
      <c r="T36" s="492" t="n">
        <f aca="false">IF(ISERROR(R36*I36*J36),0,R36*I36*J36)</f>
        <v>40</v>
      </c>
      <c r="U36" s="506" t="n">
        <f aca="false">IF(ISERROR(R36*J36),0,R36*J36)</f>
        <v>4</v>
      </c>
      <c r="V36" s="493" t="n">
        <v>4</v>
      </c>
      <c r="W36" s="494"/>
      <c r="Y36" s="495" t="str">
        <f aca="false">IF(A36="new.cod","NEWCOD",IF(AND((Z36=""),ISTEXT(A36)),A36,IF(Z36="","",INDEX('liste reference'!$A$7:$A$904,Z36))))</f>
        <v>FONANT</v>
      </c>
      <c r="Z36" s="284" t="n">
        <f aca="false">IF(ISERROR(MATCH(A36,'liste reference'!$A$7:$A$904,0)),IF(ISERROR(MATCH(A36,'liste reference'!$B$7:$B$904,0)),"",(MATCH(A36,'liste reference'!$B$7:$B$904,0))),(MATCH(A36,'liste reference'!$A$7:$A$904,0)))</f>
        <v>211</v>
      </c>
      <c r="AA36" s="496"/>
      <c r="AB36" s="497"/>
      <c r="AC36" s="497"/>
      <c r="BC36" s="284" t="n">
        <f aca="false">IF(A36="","",1)</f>
        <v>1</v>
      </c>
    </row>
    <row r="37" customFormat="false" ht="12.75" hidden="false" customHeight="false" outlineLevel="0" collapsed="false">
      <c r="A37" s="498" t="s">
        <v>1058</v>
      </c>
      <c r="B37" s="499" t="n">
        <v>2.7</v>
      </c>
      <c r="C37" s="500"/>
      <c r="D37" s="501" t="str">
        <f aca="false">IF(ISERROR(VLOOKUP($A37,'liste reference'!$A$7:$D$904,2,0)),IF(ISERROR(VLOOKUP($A37,'liste reference'!$B$7:$D$904,1,0)),"",VLOOKUP($A37,'liste reference'!$B$7:$D$904,1,0)),VLOOKUP($A37,'liste reference'!$A$7:$D$904,2,0))</f>
        <v>Rhynchostegium riparioides</v>
      </c>
      <c r="E37" s="501" t="e">
        <f aca="false">IF(D37="",0,VLOOKUP(D37,D$22:D36,1,0))</f>
        <v>#N/A</v>
      </c>
      <c r="F37" s="508" t="n">
        <f aca="false">($B37*$B$7+$C37*$C$7)/100</f>
        <v>2.7</v>
      </c>
      <c r="G37" s="503" t="str">
        <f aca="false">IF(A37="","",IF(ISERROR(VLOOKUP($A37,'liste reference'!$A$7:$P$904,13,0)),IF(ISERROR(VLOOKUP($A37,'liste reference'!$B$7:$P$904,12,0)),"    -",VLOOKUP($A37,'liste reference'!$B$7:$P$904,12,0)),VLOOKUP($A37,'liste reference'!$A$7:$P$904,13,0)))</f>
        <v>BRm</v>
      </c>
      <c r="H37" s="484" t="n">
        <f aca="false">IF(A37="","x",IF(ISERROR(VLOOKUP($A37,'liste reference'!$A$7:$P$904,14,0)),IF(ISERROR(VLOOKUP($A37,'liste reference'!$B$7:$P$904,13,0)),"x",VLOOKUP($A37,'liste reference'!$B$7:$P$904,13,0)),VLOOKUP($A37,'liste reference'!$A$7:$P$904,14,0)))</f>
        <v>5</v>
      </c>
      <c r="I37" s="504" t="n">
        <f aca="false">IF(ISNUMBER(H37),IF(ISERROR(VLOOKUP($A37,'liste reference'!$A$7:$P$904,3,0)),IF(ISERROR(VLOOKUP($A37,'liste reference'!$B$7:$P$904,2,0)),"",VLOOKUP($A37,'liste reference'!$B$7:$P$904,2,0)),VLOOKUP($A37,'liste reference'!$A$7:$P$904,3,0)),"")</f>
        <v>12</v>
      </c>
      <c r="J37" s="486" t="n">
        <f aca="false">IF(ISNUMBER(H37),IF(ISERROR(VLOOKUP($A37,'liste reference'!$A$7:$P$904,4,0)),IF(ISERROR(VLOOKUP($A37,'liste reference'!$B$7:$P$904,3,0)),"",VLOOKUP($A37,'liste reference'!$B$7:$P$904,3,0)),VLOOKUP($A37,'liste reference'!$A$7:$P$904,4,0)),"")</f>
        <v>1</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Rhynchostegium riparioides</v>
      </c>
      <c r="L37" s="505"/>
      <c r="M37" s="505"/>
      <c r="N37" s="505"/>
      <c r="O37" s="489"/>
      <c r="P37" s="490" t="n">
        <f aca="false">IF($A37="NEWCOD",IF($AC37="","No",$AC37),IF(ISTEXT($E37),"DEJA SAISI !",IF($A37="","",IF(ISERROR(VLOOKUP($A37,'liste reference'!A:S,19,FALSE())),IF(ISERROR(VLOOKUP($A37,'liste reference'!B:S,19,FALSE())),"",VLOOKUP($A37,'liste reference'!B:S,19,FALSE())),VLOOKUP($A37,'liste reference'!A:S,19,FALSE())))))</f>
        <v>1268</v>
      </c>
      <c r="Q37" s="491" t="n">
        <f aca="false">IF(ISTEXT(H37),"",(B37*$B$7/100)+(C37*$C$7/100))</f>
        <v>2.7</v>
      </c>
      <c r="R37" s="492" t="n">
        <f aca="false">IF(OR(ISTEXT(H37),Q37=0),"",IF(Q37&lt;0.1,1,IF(Q37&lt;1,2,IF(Q37&lt;10,3,IF(Q37&lt;50,4,IF(Q37&gt;=50,5,""))))))</f>
        <v>3</v>
      </c>
      <c r="S37" s="492" t="n">
        <f aca="false">IF(ISERROR(R37*I37),0,R37*I37)</f>
        <v>36</v>
      </c>
      <c r="T37" s="492" t="n">
        <f aca="false">IF(ISERROR(R37*I37*J37),0,R37*I37*J37)</f>
        <v>36</v>
      </c>
      <c r="U37" s="506" t="n">
        <f aca="false">IF(ISERROR(R37*J37),0,R37*J37)</f>
        <v>3</v>
      </c>
      <c r="V37" s="493" t="n">
        <v>3</v>
      </c>
      <c r="W37" s="494"/>
      <c r="Y37" s="495" t="str">
        <f aca="false">IF(A37="new.cod","NEWCOD",IF(AND((Z37=""),ISTEXT(A37)),A37,IF(Z37="","",INDEX('liste reference'!$A$7:$A$904,Z37))))</f>
        <v>RHYRIP</v>
      </c>
      <c r="Z37" s="284" t="n">
        <f aca="false">IF(ISERROR(MATCH(A37,'liste reference'!$A$7:$A$904,0)),IF(ISERROR(MATCH(A37,'liste reference'!$B$7:$B$904,0)),"",(MATCH(A37,'liste reference'!$B$7:$B$904,0))),(MATCH(A37,'liste reference'!$A$7:$A$904,0)))</f>
        <v>253</v>
      </c>
      <c r="AA37" s="496"/>
      <c r="AB37" s="497"/>
      <c r="AC37" s="497"/>
      <c r="BC37" s="284" t="n">
        <f aca="false">IF(A37="","",1)</f>
        <v>1</v>
      </c>
    </row>
    <row r="38" customFormat="false" ht="12.75" hidden="false" customHeight="false" outlineLevel="0" collapsed="false">
      <c r="A38" s="498" t="s">
        <v>1760</v>
      </c>
      <c r="B38" s="499" t="n">
        <v>70</v>
      </c>
      <c r="C38" s="500"/>
      <c r="D38" s="501" t="str">
        <f aca="false">IF(ISERROR(VLOOKUP($A38,'liste reference'!$A$7:$D$904,2,0)),IF(ISERROR(VLOOKUP($A38,'liste reference'!$B$7:$D$904,1,0)),"",VLOOKUP($A38,'liste reference'!$B$7:$D$904,1,0)),VLOOKUP($A38,'liste reference'!$A$7:$D$904,2,0))</f>
        <v>Berula erecta</v>
      </c>
      <c r="E38" s="501" t="e">
        <f aca="false">IF(D38="",0,VLOOKUP(D38,D$22:D37,1,0))</f>
        <v>#N/A</v>
      </c>
      <c r="F38" s="508" t="n">
        <f aca="false">($B38*$B$7+$C38*$C$7)/100</f>
        <v>70</v>
      </c>
      <c r="G38" s="503" t="str">
        <f aca="false">IF(A38="","",IF(ISERROR(VLOOKUP($A38,'liste reference'!$A$7:$P$904,13,0)),IF(ISERROR(VLOOKUP($A38,'liste reference'!$B$7:$P$904,12,0)),"    -",VLOOKUP($A38,'liste reference'!$B$7:$P$904,12,0)),VLOOKUP($A38,'liste reference'!$A$7:$P$904,13,0)))</f>
        <v>PHe</v>
      </c>
      <c r="H38" s="484" t="n">
        <f aca="false">IF(A38="","x",IF(ISERROR(VLOOKUP($A38,'liste reference'!$A$7:$P$904,14,0)),IF(ISERROR(VLOOKUP($A38,'liste reference'!$B$7:$P$904,13,0)),"x",VLOOKUP($A38,'liste reference'!$B$7:$P$904,13,0)),VLOOKUP($A38,'liste reference'!$A$7:$P$904,14,0)))</f>
        <v>8</v>
      </c>
      <c r="I38" s="504" t="n">
        <f aca="false">IF(ISNUMBER(H38),IF(ISERROR(VLOOKUP($A38,'liste reference'!$A$7:$P$904,3,0)),IF(ISERROR(VLOOKUP($A38,'liste reference'!$B$7:$P$904,2,0)),"",VLOOKUP($A38,'liste reference'!$B$7:$P$904,2,0)),VLOOKUP($A38,'liste reference'!$A$7:$P$904,3,0)),"")</f>
        <v>14</v>
      </c>
      <c r="J38" s="486" t="n">
        <f aca="false">IF(ISNUMBER(H38),IF(ISERROR(VLOOKUP($A38,'liste reference'!$A$7:$P$904,4,0)),IF(ISERROR(VLOOKUP($A38,'liste reference'!$B$7:$P$904,3,0)),"",VLOOKUP($A38,'liste reference'!$B$7:$P$904,3,0)),VLOOKUP($A38,'liste reference'!$A$7:$P$904,4,0)),"")</f>
        <v>2</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Berula erecta</v>
      </c>
      <c r="L38" s="505"/>
      <c r="M38" s="505"/>
      <c r="N38" s="505"/>
      <c r="O38" s="489"/>
      <c r="P38" s="490" t="n">
        <f aca="false">IF($A38="NEWCOD",IF($AC38="","No",$AC38),IF(ISTEXT($E38),"DEJA SAISI !",IF($A38="","",IF(ISERROR(VLOOKUP($A38,'liste reference'!A:S,19,FALSE())),IF(ISERROR(VLOOKUP($A38,'liste reference'!B:S,19,FALSE())),"",VLOOKUP($A38,'liste reference'!B:S,19,FALSE())),VLOOKUP($A38,'liste reference'!A:S,19,FALSE())))))</f>
        <v>1977</v>
      </c>
      <c r="Q38" s="491" t="n">
        <f aca="false">IF(ISTEXT(H38),"",(B38*$B$7/100)+(C38*$C$7/100))</f>
        <v>70</v>
      </c>
      <c r="R38" s="492" t="n">
        <f aca="false">IF(OR(ISTEXT(H38),Q38=0),"",IF(Q38&lt;0.1,1,IF(Q38&lt;1,2,IF(Q38&lt;10,3,IF(Q38&lt;50,4,IF(Q38&gt;=50,5,""))))))</f>
        <v>5</v>
      </c>
      <c r="S38" s="492" t="n">
        <f aca="false">IF(ISERROR(R38*I38),0,R38*I38)</f>
        <v>70</v>
      </c>
      <c r="T38" s="492" t="n">
        <f aca="false">IF(ISERROR(R38*I38*J38),0,R38*I38*J38)</f>
        <v>140</v>
      </c>
      <c r="U38" s="506" t="n">
        <f aca="false">IF(ISERROR(R38*J38),0,R38*J38)</f>
        <v>10</v>
      </c>
      <c r="V38" s="493" t="n">
        <v>10</v>
      </c>
      <c r="W38" s="494"/>
      <c r="Y38" s="495" t="str">
        <f aca="false">IF(A38="new.cod","NEWCOD",IF(AND((Z38=""),ISTEXT(A38)),A38,IF(Z38="","",INDEX('liste reference'!$A$7:$A$904,Z38))))</f>
        <v>BERERE</v>
      </c>
      <c r="Z38" s="284" t="n">
        <f aca="false">IF(ISERROR(MATCH(A38,'liste reference'!$A$7:$A$904,0)),IF(ISERROR(MATCH(A38,'liste reference'!$B$7:$B$904,0)),"",(MATCH(A38,'liste reference'!$B$7:$B$904,0))),(MATCH(A38,'liste reference'!$A$7:$A$904,0)))</f>
        <v>533</v>
      </c>
      <c r="AA38" s="496"/>
      <c r="AB38" s="497"/>
      <c r="AC38" s="497"/>
      <c r="BC38" s="284" t="n">
        <f aca="false">IF(A38="","",1)</f>
        <v>1</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Sorgue</v>
      </c>
      <c r="B84" s="531" t="str">
        <f aca="false">C3</f>
        <v>Fontaine de Vaucluse</v>
      </c>
      <c r="C84" s="532" t="n">
        <f aca="false">A4</f>
        <v>41088</v>
      </c>
      <c r="D84" s="533" t="n">
        <f aca="false">IF(ISERROR(SUM($T$23:$T$82)/SUM($U$23:$U$82)),"",SUM($T$23:$T$82)/SUM($U$23:$U$82))</f>
        <v>12.4642857142857</v>
      </c>
      <c r="E84" s="534" t="n">
        <f aca="false">N13</f>
        <v>16</v>
      </c>
      <c r="F84" s="531" t="n">
        <f aca="false">N14</f>
        <v>16</v>
      </c>
      <c r="G84" s="531" t="n">
        <f aca="false">N15</f>
        <v>5</v>
      </c>
      <c r="H84" s="531" t="n">
        <f aca="false">N16</f>
        <v>10</v>
      </c>
      <c r="I84" s="531" t="n">
        <f aca="false">N17</f>
        <v>1</v>
      </c>
      <c r="J84" s="535" t="n">
        <f aca="false">N8</f>
        <v>11.875</v>
      </c>
      <c r="K84" s="533" t="n">
        <f aca="false">N9</f>
        <v>3.81007436497855</v>
      </c>
      <c r="L84" s="534" t="n">
        <f aca="false">N10</f>
        <v>4</v>
      </c>
      <c r="M84" s="534" t="n">
        <f aca="false">N11</f>
        <v>18</v>
      </c>
      <c r="N84" s="533" t="n">
        <f aca="false">O8</f>
        <v>1.75</v>
      </c>
      <c r="O84" s="533" t="n">
        <f aca="false">O9</f>
        <v>0.577350269189626</v>
      </c>
      <c r="P84" s="534"/>
      <c r="Q84" s="534" t="n">
        <f aca="false">O10</f>
        <v>1</v>
      </c>
      <c r="R84" s="534" t="n">
        <f aca="false">O11</f>
        <v>3</v>
      </c>
      <c r="S84" s="536" t="n">
        <f aca="false">F21</f>
        <v>107.09</v>
      </c>
      <c r="T84" s="534" t="n">
        <f aca="false">K11</f>
        <v>0</v>
      </c>
      <c r="U84" s="534" t="n">
        <f aca="false">K12</f>
        <v>11</v>
      </c>
      <c r="V84" s="534" t="n">
        <f aca="false">K13</f>
        <v>4</v>
      </c>
      <c r="W84" s="537" t="n">
        <f aca="false">K14</f>
        <v>0</v>
      </c>
      <c r="X84" s="538" t="n">
        <f aca="false">K15</f>
        <v>1</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70</v>
      </c>
      <c r="T87" s="284"/>
      <c r="U87" s="284"/>
      <c r="V87" s="284"/>
    </row>
    <row r="88" customFormat="false" ht="12.75" hidden="true" customHeight="false" outlineLevel="0" collapsed="false">
      <c r="P88" s="284"/>
      <c r="Q88" s="284" t="s">
        <v>2700</v>
      </c>
      <c r="R88" s="284"/>
      <c r="S88" s="493" t="n">
        <f aca="false">VLOOKUP((S87),($S$23:$U$82),2,0)</f>
        <v>140</v>
      </c>
      <c r="T88" s="284"/>
      <c r="U88" s="284"/>
      <c r="V88" s="284"/>
    </row>
    <row r="89" customFormat="false" ht="12.75" hidden="false" customHeight="false" outlineLevel="0" collapsed="false">
      <c r="Q89" s="284" t="s">
        <v>2701</v>
      </c>
      <c r="R89" s="284"/>
      <c r="S89" s="493" t="n">
        <f aca="false">VLOOKUP((S87),($S$23:$U$82),3,0)</f>
        <v>10</v>
      </c>
      <c r="T89" s="284"/>
    </row>
    <row r="90" customFormat="false" ht="12.75" hidden="false" customHeight="false" outlineLevel="0" collapsed="false">
      <c r="Q90" s="284" t="s">
        <v>2702</v>
      </c>
      <c r="R90" s="284"/>
      <c r="S90" s="541" t="n">
        <f aca="false">IF(ISERROR(SUM($T$23:$T$82)/SUM($U$23:$U$82)),"",(SUM($T$23:$T$82)-S88)/(SUM($U$23:$U$82)-S89))</f>
        <v>12.1304347826087</v>
      </c>
      <c r="T90" s="284"/>
    </row>
    <row r="91" customFormat="false" ht="12.75" hidden="false" customHeight="false" outlineLevel="0" collapsed="false">
      <c r="Q91" s="492" t="s">
        <v>2703</v>
      </c>
      <c r="R91" s="492"/>
      <c r="S91" s="492" t="str">
        <f aca="false">INDEX('liste reference'!$A$7:$A$904,$T$91)</f>
        <v>BERERE</v>
      </c>
      <c r="T91" s="284" t="n">
        <f aca="false">IF(ISERROR(MATCH($S$93,'liste reference'!$A$7:$A$904,0)),MATCH($S$93,'liste reference'!$B$7:$B$904,0),(MATCH($S$93,'liste reference'!$A$7:$A$904,0)))</f>
        <v>533</v>
      </c>
      <c r="U91" s="529"/>
    </row>
    <row r="92" customFormat="false" ht="12.75" hidden="false" customHeight="false" outlineLevel="0" collapsed="false">
      <c r="Q92" s="284" t="s">
        <v>2704</v>
      </c>
      <c r="R92" s="284"/>
      <c r="S92" s="284" t="n">
        <f aca="false">MATCH(S87,$S$23:$S$82,0)</f>
        <v>16</v>
      </c>
      <c r="T92" s="284"/>
    </row>
    <row r="93" customFormat="false" ht="12.75" hidden="false" customHeight="false" outlineLevel="0" collapsed="false">
      <c r="Q93" s="492" t="s">
        <v>2705</v>
      </c>
      <c r="R93" s="284"/>
      <c r="S93" s="492" t="str">
        <f aca="false">INDEX($A$23:$A$82,$S$92)</f>
        <v>BERERE</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2717</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2719</v>
      </c>
      <c r="B1" s="552"/>
      <c r="C1" s="552"/>
      <c r="D1" s="552"/>
    </row>
    <row r="2" customFormat="false" ht="15" hidden="false" customHeight="false" outlineLevel="0" collapsed="false">
      <c r="A2" s="553" t="s">
        <v>2720</v>
      </c>
      <c r="B2" s="554"/>
      <c r="C2" s="555"/>
      <c r="D2" s="555"/>
    </row>
    <row r="3" customFormat="false" ht="15.75" hidden="false" customHeight="false" outlineLevel="0" collapsed="false">
      <c r="A3" s="553" t="s">
        <v>2721</v>
      </c>
      <c r="B3" s="554"/>
      <c r="C3" s="555"/>
      <c r="D3" s="556" t="s">
        <v>2722</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2723</v>
      </c>
      <c r="G15" s="574"/>
      <c r="H15" s="575" t="s">
        <v>2724</v>
      </c>
      <c r="I15" s="574"/>
    </row>
    <row r="16" customFormat="false" ht="12.75" hidden="false" customHeight="false" outlineLevel="0" collapsed="false">
      <c r="A16" s="570" t="s">
        <v>1722</v>
      </c>
      <c r="B16" s="569" t="s">
        <v>1723</v>
      </c>
      <c r="C16" s="571"/>
      <c r="D16" s="572"/>
      <c r="F16" s="576" t="s">
        <v>2714</v>
      </c>
      <c r="G16" s="577"/>
      <c r="H16" s="576" t="s">
        <v>2714</v>
      </c>
      <c r="I16" s="578"/>
    </row>
    <row r="17" customFormat="false" ht="12.75" hidden="false" customHeight="false" outlineLevel="0" collapsed="false">
      <c r="A17" s="568" t="s">
        <v>2141</v>
      </c>
      <c r="B17" s="569" t="s">
        <v>2142</v>
      </c>
      <c r="C17" s="571"/>
      <c r="D17" s="572"/>
      <c r="F17" s="579" t="s">
        <v>2725</v>
      </c>
      <c r="G17" s="580"/>
      <c r="H17" s="579" t="s">
        <v>2725</v>
      </c>
      <c r="I17" s="581"/>
    </row>
    <row r="18" customFormat="false" ht="12.75" hidden="false" customHeight="false" outlineLevel="0" collapsed="false">
      <c r="A18" s="568" t="s">
        <v>1215</v>
      </c>
      <c r="B18" s="569" t="s">
        <v>1216</v>
      </c>
      <c r="C18" s="571"/>
      <c r="D18" s="572"/>
      <c r="F18" s="579" t="s">
        <v>2726</v>
      </c>
      <c r="G18" s="580"/>
      <c r="H18" s="579" t="s">
        <v>2726</v>
      </c>
      <c r="I18" s="581"/>
    </row>
    <row r="19" customFormat="false" ht="12.75" hidden="false" customHeight="false" outlineLevel="0" collapsed="false">
      <c r="A19" s="568" t="s">
        <v>1725</v>
      </c>
      <c r="B19" s="569" t="s">
        <v>1726</v>
      </c>
      <c r="C19" s="571"/>
      <c r="D19" s="572"/>
      <c r="F19" s="579" t="s">
        <v>2727</v>
      </c>
      <c r="G19" s="580"/>
      <c r="H19" s="579" t="s">
        <v>2727</v>
      </c>
      <c r="I19" s="581"/>
    </row>
    <row r="20" customFormat="false" ht="12.75" hidden="false" customHeight="false" outlineLevel="0" collapsed="false">
      <c r="A20" s="570" t="s">
        <v>1728</v>
      </c>
      <c r="B20" s="569" t="s">
        <v>1729</v>
      </c>
      <c r="C20" s="571"/>
      <c r="D20" s="572"/>
      <c r="F20" s="579" t="s">
        <v>2728</v>
      </c>
      <c r="G20" s="580"/>
      <c r="H20" s="579" t="s">
        <v>2728</v>
      </c>
      <c r="I20" s="581"/>
    </row>
    <row r="21" customFormat="false" ht="12.75" hidden="false" customHeight="false" outlineLevel="0" collapsed="false">
      <c r="A21" s="570" t="s">
        <v>1734</v>
      </c>
      <c r="B21" s="569" t="s">
        <v>1735</v>
      </c>
      <c r="C21" s="571"/>
      <c r="D21" s="572"/>
      <c r="F21" s="579" t="s">
        <v>2729</v>
      </c>
      <c r="G21" s="580"/>
      <c r="H21" s="579" t="s">
        <v>2729</v>
      </c>
      <c r="I21" s="581"/>
    </row>
    <row r="22" customFormat="false" ht="12.75" hidden="false" customHeight="false" outlineLevel="0" collapsed="false">
      <c r="A22" s="568" t="s">
        <v>1740</v>
      </c>
      <c r="B22" s="569" t="s">
        <v>1741</v>
      </c>
      <c r="C22" s="571"/>
      <c r="D22" s="572"/>
      <c r="F22" s="579" t="s">
        <v>2730</v>
      </c>
      <c r="G22" s="580"/>
      <c r="H22" s="579" t="s">
        <v>2730</v>
      </c>
      <c r="I22" s="581"/>
    </row>
    <row r="23" customFormat="false" ht="12.75" hidden="false" customHeight="false" outlineLevel="0" collapsed="false">
      <c r="A23" s="568" t="s">
        <v>2479</v>
      </c>
      <c r="B23" s="569" t="s">
        <v>2480</v>
      </c>
      <c r="C23" s="571"/>
      <c r="D23" s="572"/>
      <c r="F23" s="579" t="s">
        <v>2731</v>
      </c>
      <c r="G23" s="580"/>
      <c r="H23" s="579" t="s">
        <v>2731</v>
      </c>
      <c r="I23" s="581"/>
    </row>
    <row r="24" customFormat="false" ht="12.75" hidden="false" customHeight="false" outlineLevel="0" collapsed="false">
      <c r="A24" s="568" t="s">
        <v>2144</v>
      </c>
      <c r="B24" s="569" t="s">
        <v>2145</v>
      </c>
      <c r="C24" s="571"/>
      <c r="D24" s="572"/>
      <c r="F24" s="579" t="s">
        <v>2732</v>
      </c>
      <c r="G24" s="580"/>
      <c r="H24" s="579" t="s">
        <v>2732</v>
      </c>
      <c r="I24" s="581"/>
    </row>
    <row r="25" customFormat="false" ht="12.75" hidden="false" customHeight="false" outlineLevel="0" collapsed="false">
      <c r="A25" s="568" t="s">
        <v>2147</v>
      </c>
      <c r="B25" s="569" t="s">
        <v>2148</v>
      </c>
      <c r="C25" s="571"/>
      <c r="D25" s="572"/>
      <c r="F25" s="582" t="s">
        <v>2733</v>
      </c>
      <c r="G25" s="583"/>
      <c r="H25" s="582" t="s">
        <v>2733</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2734</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2735</v>
      </c>
    </row>
    <row r="34" customFormat="false" ht="12.75" hidden="false" customHeight="false" outlineLevel="0" collapsed="false">
      <c r="A34" s="568" t="s">
        <v>655</v>
      </c>
      <c r="B34" s="569" t="s">
        <v>656</v>
      </c>
      <c r="C34" s="571"/>
      <c r="D34" s="572"/>
      <c r="F34" s="586" t="s">
        <v>2736</v>
      </c>
    </row>
    <row r="35" customFormat="false" ht="12.75" hidden="false" customHeight="false" outlineLevel="0" collapsed="false">
      <c r="A35" s="568" t="s">
        <v>53</v>
      </c>
      <c r="B35" s="588" t="s">
        <v>54</v>
      </c>
      <c r="C35" s="571"/>
      <c r="D35" s="572"/>
      <c r="F35" s="589" t="s">
        <v>2737</v>
      </c>
    </row>
    <row r="36" customFormat="false" ht="12.75" hidden="false" customHeight="false" outlineLevel="0" collapsed="false">
      <c r="A36" s="570" t="s">
        <v>321</v>
      </c>
      <c r="B36" s="569" t="s">
        <v>322</v>
      </c>
      <c r="C36" s="571"/>
      <c r="D36" s="572"/>
      <c r="F36" s="589" t="s">
        <v>2738</v>
      </c>
    </row>
    <row r="37" customFormat="false" ht="12.75" hidden="false" customHeight="false" outlineLevel="0" collapsed="false">
      <c r="A37" s="568" t="s">
        <v>2156</v>
      </c>
      <c r="B37" s="569" t="s">
        <v>2739</v>
      </c>
      <c r="C37" s="571"/>
      <c r="D37" s="572"/>
      <c r="F37" s="587" t="s">
        <v>2740</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2741</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2742</v>
      </c>
      <c r="C96" s="571"/>
      <c r="D96" s="572"/>
    </row>
    <row r="97" customFormat="false" ht="12.75" hidden="false" customHeight="false" outlineLevel="0" collapsed="false">
      <c r="A97" s="568" t="s">
        <v>2743</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2744</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2745</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2746</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2747</v>
      </c>
      <c r="B406" s="569" t="s">
        <v>397</v>
      </c>
      <c r="C406" s="571"/>
      <c r="D406" s="572"/>
    </row>
    <row r="407" customFormat="false" ht="12.75" hidden="false" customHeight="false" outlineLevel="0" collapsed="false">
      <c r="A407" s="570" t="s">
        <v>404</v>
      </c>
      <c r="B407" s="569" t="s">
        <v>2748</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2749</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2750</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2751</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2012-10-02T15:34:59Z</dcterms:modified>
  <cp:revision>0</cp:revision>
  <dc:subject/>
  <dc:title>Feuille d'aide au calcul de l'IBMR</dc:title>
</cp:coreProperties>
</file>