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580" windowHeight="6420" tabRatio="898" firstSheet="4" activeTab="4"/>
  </bookViews>
  <sheets>
    <sheet name="accueil" sheetId="1" state="hidden" r:id="rId1"/>
    <sheet name="liste reference" sheetId="2" r:id="rId2"/>
    <sheet name="Récap." sheetId="3" state="hidden" r:id="rId3"/>
    <sheet name="notice" sheetId="4" state="hidden" r:id="rId4"/>
    <sheet name="Gardon Alè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'Gardon Alès'!$A$1:$O$82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<sst xmlns="http://schemas.openxmlformats.org/spreadsheetml/2006/main" count="9449" uniqueCount="2734">
  <si>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</si>
  <si>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</si>
  <si>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</si>
  <si>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</si>
  <si>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</si>
  <si>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</si>
  <si>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</si>
  <si>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</si>
  <si>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</si>
  <si>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</si>
  <si>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</si>
  <si>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</si>
  <si>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</si>
  <si>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</si>
  <si>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</si>
  <si>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</si>
  <si>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</si>
  <si>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</si>
  <si>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</si>
  <si>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</si>
  <si>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</si>
  <si>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</si>
  <si>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</si>
  <si>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</si>
  <si>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</si>
  <si>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</si>
  <si>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</si>
  <si>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</si>
  <si>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</si>
  <si>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</si>
  <si>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</si>
  <si>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</si>
  <si>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</si>
  <si>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</si>
  <si>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</si>
  <si>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</si>
  <si>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</si>
  <si>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</si>
  <si>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</si>
  <si>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</si>
  <si>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</si>
  <si>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</si>
  <si>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</si>
  <si>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</si>
  <si>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</si>
  <si>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</si>
  <si>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</si>
  <si>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</si>
  <si>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</si>
  <si>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</si>
  <si>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</si>
  <si>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</si>
  <si>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</si>
  <si>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</si>
  <si>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</si>
  <si>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</si>
  <si>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</si>
  <si>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</si>
  <si>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</si>
  <si>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</si>
  <si>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</si>
  <si>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</si>
  <si>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</si>
  <si>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</si>
  <si>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</si>
  <si>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</si>
  <si>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</si>
  <si>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</si>
  <si>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</si>
  <si>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</si>
  <si>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</si>
  <si>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</si>
  <si>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</si>
  <si>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</si>
  <si>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</si>
  <si>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</si>
  <si>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</si>
  <si>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</si>
  <si>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</si>
  <si>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</si>
  <si>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</si>
  <si>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</si>
  <si>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</si>
  <si>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</si>
  <si>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</si>
  <si>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</si>
  <si>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</si>
  <si>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</si>
  <si>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</si>
  <si>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</si>
  <si>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</si>
  <si>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</si>
  <si>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</si>
  <si>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</si>
  <si>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</si>
  <si>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</si>
  <si>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</si>
  <si>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</si>
  <si>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</si>
  <si>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</si>
  <si>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</si>
  <si>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</si>
  <si>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</si>
  <si>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</si>
  <si>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</si>
  <si>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</si>
  <si>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</si>
  <si>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</si>
  <si>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</si>
  <si>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</si>
  <si>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</si>
  <si>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</si>
  <si>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</si>
  <si>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</si>
  <si>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</si>
  <si>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</si>
  <si>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</si>
  <si>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</si>
  <si>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</si>
  <si>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</si>
  <si>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</si>
  <si>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</si>
  <si>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</si>
  <si>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</si>
  <si>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</si>
  <si>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</si>
  <si>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</si>
  <si>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</si>
  <si>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</si>
  <si>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</si>
  <si>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</si>
  <si>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</si>
  <si>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</si>
  <si>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</si>
  <si>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</si>
  <si>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</si>
  <si>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</si>
  <si>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</si>
  <si>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</si>
  <si>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</si>
  <si>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</si>
  <si>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</si>
  <si>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</si>
  <si>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</si>
  <si>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</si>
  <si>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</si>
  <si>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</si>
  <si>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</si>
  <si>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</si>
  <si>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</si>
  <si>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</si>
  <si>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</si>
  <si>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</si>
  <si>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</si>
  <si>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</si>
  <si>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</si>
  <si>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</si>
  <si>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</si>
  <si>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</si>
  <si>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</si>
  <si>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</si>
  <si>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</si>
  <si>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</si>
  <si>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</si>
  <si>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</si>
  <si>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</si>
  <si>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</si>
  <si>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</si>
  <si>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</si>
  <si>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</si>
  <si>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</si>
  <si>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</si>
  <si>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</si>
  <si>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</si>
  <si>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</si>
  <si>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</si>
  <si>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</si>
  <si>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</si>
  <si>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</si>
  <si>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</si>
  <si>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</si>
  <si>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</si>
  <si>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</si>
  <si>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</si>
  <si>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</si>
  <si>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</si>
  <si>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</si>
  <si>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</si>
  <si>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</si>
  <si>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</si>
  <si>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</si>
  <si>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</si>
  <si>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</si>
  <si>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</si>
  <si>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</si>
  <si>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</si>
  <si>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</si>
  <si>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</si>
  <si>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</si>
  <si>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</si>
  <si>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</si>
  <si>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</si>
  <si>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</si>
  <si>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</si>
  <si>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</si>
  <si>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</si>
  <si>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</si>
  <si>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</si>
  <si>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</si>
  <si>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</si>
  <si>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</si>
  <si>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</si>
  <si>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</si>
  <si>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</si>
  <si>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</si>
  <si>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</si>
  <si>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</si>
  <si>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</si>
  <si>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</si>
  <si>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</si>
  <si>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</si>
  <si>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</si>
  <si>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</si>
  <si>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</si>
  <si>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</si>
  <si>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</si>
  <si>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</si>
  <si>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</si>
  <si>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</si>
  <si>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</si>
  <si>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</si>
  <si>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</si>
  <si>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</si>
  <si>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</si>
  <si>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</si>
  <si>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</si>
  <si>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</si>
  <si>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</si>
  <si>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</si>
  <si>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</si>
  <si>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</si>
  <si>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</si>
  <si>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</si>
  <si>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</si>
  <si>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</si>
  <si>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</si>
  <si>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</si>
  <si>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</si>
  <si>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</si>
  <si>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</si>
  <si>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</si>
  <si>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</si>
  <si>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</si>
  <si>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</si>
  <si>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</si>
  <si>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</si>
  <si>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</si>
  <si>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</si>
  <si>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</si>
  <si>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</si>
  <si>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</si>
  <si>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</si>
  <si>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</si>
  <si>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</si>
  <si>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</si>
  <si>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</si>
  <si>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</si>
  <si>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</si>
  <si>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</si>
  <si>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</si>
  <si>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</si>
  <si>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</si>
  <si>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</si>
  <si>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</si>
  <si>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</si>
  <si>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</si>
  <si>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</si>
  <si>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</si>
  <si>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</si>
  <si>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</si>
  <si>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</si>
  <si>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</si>
  <si>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</si>
  <si>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</si>
  <si>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</si>
  <si>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</si>
  <si>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</si>
  <si>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</si>
  <si>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</si>
  <si>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</si>
  <si>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</si>
  <si>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</si>
  <si>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</si>
  <si>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</si>
  <si>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</si>
  <si>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</si>
  <si>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</si>
  <si>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</si>
  <si>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</si>
  <si>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</si>
  <si>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</si>
  <si>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</si>
  <si>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</si>
  <si>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</si>
  <si>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</si>
  <si>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</si>
  <si>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</si>
  <si>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</si>
  <si>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</si>
  <si>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</si>
  <si>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</si>
  <si>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</si>
  <si>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</si>
  <si>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</si>
  <si>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</si>
  <si>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</si>
  <si>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</si>
  <si>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</si>
  <si>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</si>
  <si>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</si>
  <si>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</si>
  <si>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</si>
  <si>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</si>
  <si>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</si>
  <si>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</si>
  <si>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</si>
  <si>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</si>
  <si>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</si>
  <si>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</si>
  <si>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</si>
  <si>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</si>
  <si>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</si>
  <si>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</si>
  <si>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</si>
  <si>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</si>
  <si>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</si>
  <si>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</si>
  <si>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</si>
  <si>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</si>
  <si>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</si>
  <si>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</si>
  <si>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</si>
  <si>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</si>
  <si>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</si>
  <si>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</si>
  <si>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</si>
  <si>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</si>
  <si>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</si>
  <si>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</si>
  <si>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</si>
  <si>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</si>
  <si>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</si>
  <si>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</si>
  <si>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</si>
  <si>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</si>
  <si>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</si>
  <si>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</si>
  <si>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</si>
  <si>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</si>
  <si>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</si>
  <si>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</si>
  <si>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</si>
  <si>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</si>
  <si>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</si>
  <si>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</si>
  <si>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</si>
  <si>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</si>
  <si>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</si>
  <si>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</si>
  <si>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</si>
  <si>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</si>
  <si>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</si>
  <si>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</si>
  <si>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</si>
  <si>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</si>
  <si>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</si>
  <si>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</si>
  <si>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</si>
  <si>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</si>
  <si>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</si>
  <si>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</si>
  <si>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</si>
  <si>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</si>
  <si>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</si>
  <si>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</si>
  <si>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</si>
  <si>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</si>
  <si>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</si>
  <si>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</si>
  <si>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</si>
  <si>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</si>
  <si>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</si>
  <si>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</si>
  <si>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</si>
  <si>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</si>
  <si>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</si>
  <si>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</si>
  <si>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</si>
  <si>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</si>
  <si>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</si>
  <si>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</si>
  <si>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</si>
  <si>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</si>
  <si>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</si>
  <si>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</si>
  <si>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</si>
  <si>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</si>
  <si>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</si>
  <si>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</si>
  <si>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</si>
  <si>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</si>
  <si>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</si>
  <si>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</si>
  <si>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</si>
  <si>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</si>
  <si>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</si>
  <si>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</si>
  <si>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</si>
  <si>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</si>
  <si>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</si>
  <si>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</si>
  <si>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</si>
  <si>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</si>
  <si>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</si>
  <si>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</si>
  <si>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</si>
  <si>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</si>
  <si>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</si>
  <si>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</si>
  <si>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</si>
  <si>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</si>
  <si>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</si>
  <si>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</si>
  <si>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</si>
  <si>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</si>
  <si>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</si>
  <si>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</si>
  <si>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</si>
  <si>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</si>
  <si>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</si>
  <si>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</si>
  <si>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</si>
  <si>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</si>
  <si>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</si>
  <si>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</si>
  <si>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</si>
  <si>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</si>
  <si>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</si>
  <si>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</si>
  <si>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</si>
  <si>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</si>
  <si>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</si>
  <si>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</si>
  <si>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</si>
  <si>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</si>
  <si>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</si>
  <si>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</si>
  <si>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</si>
  <si>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</si>
  <si>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</si>
  <si>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</si>
  <si>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</si>
  <si>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</si>
  <si>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</si>
  <si>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</si>
  <si>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</si>
  <si>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</si>
  <si>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</si>
  <si>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</si>
  <si>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</si>
  <si>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</si>
  <si>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</si>
  <si>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</si>
  <si>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</si>
  <si>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</si>
  <si>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</si>
  <si>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</si>
  <si>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</si>
  <si>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</si>
  <si>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</si>
  <si>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</si>
  <si>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</si>
  <si>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</si>
  <si>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</si>
  <si>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</si>
  <si>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</si>
  <si>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</si>
  <si>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</si>
  <si>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</si>
  <si>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</si>
  <si>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</si>
  <si>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</si>
  <si>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</si>
  <si>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</si>
  <si>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</si>
  <si>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</si>
  <si>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</si>
  <si>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</si>
  <si>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</si>
  <si>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</si>
  <si>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</si>
  <si>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</si>
  <si>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</si>
  <si>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</si>
  <si>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</si>
  <si>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</si>
  <si>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</si>
  <si>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</si>
  <si>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</si>
  <si>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</si>
  <si>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</si>
  <si>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</si>
  <si>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</si>
  <si>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</si>
  <si>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</si>
  <si>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</si>
  <si>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</si>
  <si>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</si>
  <si>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</si>
  <si>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</si>
  <si>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</si>
  <si>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</si>
  <si>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</si>
  <si>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</si>
  <si>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</si>
  <si>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</si>
  <si>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</si>
  <si>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</si>
  <si>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</si>
  <si>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</si>
  <si>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</si>
  <si>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</si>
  <si>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</si>
  <si>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</si>
  <si>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</si>
  <si>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</si>
  <si>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</si>
  <si>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</si>
  <si>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</si>
  <si>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</si>
  <si>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</si>
  <si>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</si>
  <si>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</si>
  <si>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</si>
  <si>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</si>
  <si>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</si>
  <si>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</si>
  <si>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</si>
  <si>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</si>
  <si>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</si>
  <si>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</si>
  <si>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</si>
  <si>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</si>
  <si>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</si>
  <si>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</si>
  <si>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</si>
  <si>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</si>
  <si>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</si>
  <si>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</si>
  <si>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</si>
  <si>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</si>
  <si>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</si>
  <si>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</si>
  <si>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</si>
  <si>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</si>
  <si>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</si>
  <si>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</si>
  <si>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</si>
  <si>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</si>
  <si>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</si>
  <si>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</si>
  <si>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</si>
  <si>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</si>
  <si>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</si>
  <si>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</si>
  <si>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</si>
  <si>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</si>
  <si>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</si>
  <si>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</si>
  <si>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</si>
  <si>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</si>
  <si>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</si>
  <si>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</si>
  <si>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</si>
  <si>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</si>
  <si>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</si>
  <si>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</si>
  <si>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</si>
  <si>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</si>
  <si>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</si>
  <si>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</si>
  <si>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</si>
  <si>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</si>
  <si>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</si>
  <si>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</si>
  <si>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</si>
  <si>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</si>
  <si>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</si>
  <si>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</si>
  <si>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</si>
  <si>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</si>
  <si>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</si>
  <si>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</si>
  <si>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</si>
  <si>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</si>
  <si>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</si>
  <si>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</si>
  <si>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</si>
  <si>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</si>
  <si>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</si>
  <si>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</si>
  <si>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</si>
  <si>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</si>
  <si>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</si>
  <si>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</si>
  <si>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</si>
  <si>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</si>
  <si>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</si>
  <si>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</si>
  <si>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</si>
  <si>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</si>
  <si>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</si>
  <si>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</si>
  <si>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</si>
  <si>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</si>
  <si>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</si>
  <si>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</si>
  <si>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</si>
  <si>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</si>
  <si>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</si>
  <si>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</si>
  <si>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</si>
  <si>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</si>
  <si>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</si>
  <si>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</si>
  <si>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</si>
  <si>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</si>
  <si>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</si>
  <si>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</si>
  <si>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</si>
  <si>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</si>
  <si>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</si>
  <si>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</si>
  <si>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</si>
  <si>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</si>
  <si>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</si>
  <si>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</si>
  <si>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</si>
  <si>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</si>
  <si>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</si>
  <si>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</si>
  <si>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</si>
  <si>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</si>
  <si>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</si>
  <si>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</si>
  <si>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</si>
  <si>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</si>
  <si>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</si>
  <si>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</si>
  <si>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</si>
  <si>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</si>
  <si>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</si>
  <si>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</si>
  <si>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</si>
  <si>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</si>
  <si>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</si>
  <si>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</si>
  <si>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</si>
  <si>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</si>
  <si>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</si>
  <si>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</si>
  <si>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</si>
  <si>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</si>
  <si>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</si>
  <si>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</si>
  <si>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</si>
  <si>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</si>
  <si>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</si>
  <si>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</si>
  <si>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</si>
  <si>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</si>
  <si>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</si>
  <si>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</si>
  <si>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</si>
  <si>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</si>
  <si>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</si>
  <si>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</si>
  <si>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</si>
  <si>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</si>
  <si>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</si>
  <si>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</si>
  <si>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</si>
  <si>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</si>
  <si>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</si>
  <si>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</si>
  <si>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</si>
  <si>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</si>
  <si>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</si>
  <si>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</si>
  <si>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</si>
  <si>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</si>
  <si>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</si>
  <si>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</si>
  <si>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</si>
  <si>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</si>
  <si>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</si>
  <si>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</si>
  <si>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</si>
  <si>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</si>
  <si>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</si>
  <si>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</si>
  <si>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</si>
  <si>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</si>
  <si>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</si>
  <si>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</si>
  <si>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</si>
  <si>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</si>
  <si>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</si>
  <si>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</si>
  <si>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</si>
  <si>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</si>
  <si>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</si>
  <si>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</si>
  <si>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</si>
  <si>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</si>
  <si>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</si>
  <si>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</si>
  <si>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</si>
  <si>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</si>
  <si>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</si>
  <si>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</si>
  <si>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</si>
  <si>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</si>
  <si>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</si>
  <si>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</si>
  <si>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</si>
  <si>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</si>
  <si>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</si>
  <si>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</si>
  <si>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</si>
  <si>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</si>
  <si>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</si>
  <si>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</si>
  <si>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</si>
  <si>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</si>
  <si>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</si>
  <si>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</si>
  <si>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</si>
  <si>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</si>
  <si>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</si>
  <si>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</si>
  <si>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</si>
  <si>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</si>
  <si>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</si>
  <si>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</si>
  <si>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</si>
  <si>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</si>
  <si>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</si>
  <si>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</si>
  <si>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</si>
  <si>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</si>
  <si>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</si>
  <si>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</si>
  <si>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</si>
  <si>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</si>
  <si>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</si>
  <si>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</si>
  <si>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</si>
  <si>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</si>
  <si>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</si>
  <si>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</si>
  <si>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</si>
  <si>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</si>
  <si>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</si>
  <si>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</si>
  <si>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</si>
  <si>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</si>
  <si>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</si>
  <si>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</si>
  <si>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</si>
  <si>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</si>
  <si>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</si>
  <si>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</si>
  <si>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</si>
  <si>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</si>
  <si>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</si>
  <si>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</si>
  <si>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</si>
  <si>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</si>
  <si>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</si>
  <si>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</si>
  <si>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</si>
  <si>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</si>
  <si>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</si>
  <si>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</si>
  <si>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</si>
  <si>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</si>
  <si>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</si>
  <si>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</si>
  <si>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</si>
  <si>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</si>
  <si>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</si>
  <si>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</si>
  <si>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</si>
  <si>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</si>
  <si>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</si>
  <si>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</si>
  <si>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</si>
  <si>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</si>
  <si>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</si>
  <si>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</si>
  <si>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</si>
  <si>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</si>
  <si>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</si>
  <si>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</si>
  <si>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</si>
  <si>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</si>
  <si>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</si>
  <si>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</si>
  <si>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</si>
  <si>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</si>
  <si>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</si>
  <si>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</si>
  <si>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</si>
  <si>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</si>
  <si>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</si>
  <si>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</si>
  <si>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</si>
  <si>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</si>
  <si>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</si>
  <si>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</si>
  <si>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</si>
  <si>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</si>
  <si>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</si>
  <si>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</si>
  <si>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</si>
  <si>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</si>
  <si>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</si>
  <si>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</si>
  <si>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</si>
  <si>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</si>
  <si>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</si>
  <si>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</si>
  <si>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</si>
  <si>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</si>
  <si>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</si>
  <si>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</si>
  <si>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</si>
  <si>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</si>
  <si>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</si>
  <si>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</si>
  <si>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</si>
  <si>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</si>
  <si>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</si>
  <si>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</si>
  <si>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</si>
  <si>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</si>
  <si>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</si>
  <si>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</si>
  <si>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</si>
  <si>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</si>
  <si>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</si>
  <si>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</si>
  <si>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</si>
  <si>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</si>
  <si>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</si>
  <si>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</si>
  <si>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</si>
  <si>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</si>
  <si>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</si>
  <si>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</si>
  <si>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</si>
  <si>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</si>
  <si>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</si>
  <si>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</si>
  <si>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</si>
  <si>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</si>
  <si>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</si>
  <si>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</si>
  <si>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</si>
  <si>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</si>
  <si>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</si>
  <si>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</si>
  <si>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</si>
  <si>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</si>
  <si>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</si>
  <si>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</si>
  <si>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</si>
  <si>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</si>
  <si>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</si>
  <si>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</si>
  <si>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</si>
  <si>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</si>
  <si>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</si>
  <si>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</si>
  <si>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</si>
  <si>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</si>
  <si>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</si>
  <si>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</si>
  <si>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</si>
  <si>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</si>
  <si>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</si>
  <si>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</si>
  <si>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</si>
  <si>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</si>
  <si>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</si>
  <si>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</si>
  <si>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</si>
  <si>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</si>
  <si>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</si>
  <si>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</si>
  <si>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</si>
  <si>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</si>
  <si>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</si>
  <si>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</si>
  <si>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</si>
  <si>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</si>
  <si>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</si>
  <si>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</si>
  <si>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</si>
  <si>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</si>
  <si>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</si>
  <si>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</si>
  <si>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</si>
  <si>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</si>
  <si>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</si>
  <si>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</si>
  <si>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</si>
  <si>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</si>
  <si>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</si>
  <si>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</si>
  <si>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</si>
  <si>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</si>
  <si>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</si>
  <si>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</si>
  <si>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</si>
  <si>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</si>
  <si>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</si>
  <si>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</si>
  <si>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</si>
  <si>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</si>
  <si>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</si>
  <si>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</si>
  <si>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</si>
  <si>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</si>
  <si>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</si>
  <si>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</si>
  <si>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</si>
  <si>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</si>
  <si>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</si>
  <si>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</si>
  <si>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</si>
  <si>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</si>
  <si>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</si>
  <si>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</si>
  <si>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</si>
  <si>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</si>
  <si>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</si>
  <si>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</si>
  <si>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</si>
  <si>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</si>
  <si>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</si>
  <si>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</si>
  <si>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</si>
  <si>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</si>
  <si>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</si>
  <si>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</si>
  <si>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</si>
  <si>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</si>
  <si>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</si>
  <si>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</si>
  <si>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</si>
  <si>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</si>
  <si>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</si>
  <si>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</si>
  <si>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</si>
  <si>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</si>
  <si>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</si>
  <si>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</si>
  <si>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</si>
  <si>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</si>
  <si>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</si>
  <si>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</si>
  <si>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</si>
  <si>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</si>
  <si>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</si>
  <si>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</si>
  <si>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</si>
  <si>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</si>
  <si>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</si>
  <si>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</si>
  <si>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</si>
  <si>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</si>
  <si>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</si>
  <si>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</si>
  <si>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</si>
  <si>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</si>
  <si>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</si>
  <si>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</si>
  <si>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</si>
  <si>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</si>
  <si>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</si>
  <si>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</si>
  <si>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</si>
  <si>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</si>
  <si>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</si>
  <si>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</si>
  <si>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</si>
  <si>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</si>
  <si>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</si>
  <si>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</si>
  <si>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</si>
  <si>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</si>
  <si>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</si>
  <si>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</si>
  <si>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</si>
  <si>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</si>
  <si>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</si>
  <si>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</si>
  <si>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</si>
  <si>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</si>
  <si>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</si>
  <si>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</si>
  <si>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</si>
  <si>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</si>
  <si>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</si>
  <si>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</si>
  <si>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</si>
  <si>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</si>
  <si>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</si>
  <si>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</si>
  <si>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</si>
  <si>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</si>
  <si>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</si>
  <si>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</si>
  <si>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</si>
  <si>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</si>
  <si>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</si>
  <si>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</si>
  <si>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</si>
  <si>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</si>
  <si>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</si>
  <si>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</si>
  <si>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</si>
  <si>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</si>
  <si>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</si>
  <si>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</si>
  <si>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</si>
  <si>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</si>
  <si>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</si>
  <si>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</si>
  <si>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</si>
  <si>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</si>
  <si>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</si>
  <si>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</si>
  <si>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</si>
  <si>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</si>
  <si>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</si>
  <si>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</si>
  <si>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</si>
  <si>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</si>
  <si>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</si>
  <si>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</si>
  <si>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</si>
  <si>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</si>
  <si>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</si>
  <si>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</si>
  <si>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</si>
  <si>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</si>
  <si>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</si>
  <si>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</si>
  <si>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</si>
  <si>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</si>
  <si>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</si>
  <si>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</si>
  <si>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</si>
  <si>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</si>
  <si>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</si>
  <si>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</si>
  <si>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</si>
  <si>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</si>
  <si>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</si>
  <si>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</si>
  <si>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</si>
  <si>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</si>
  <si>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</si>
  <si>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</si>
  <si>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</si>
  <si>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</si>
  <si>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</si>
  <si>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</si>
  <si>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</si>
  <si>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</si>
  <si>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</si>
  <si>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</si>
  <si>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</si>
  <si>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</si>
  <si>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</si>
  <si>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</si>
  <si>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</si>
  <si>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</si>
  <si>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</si>
  <si>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</si>
  <si>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</si>
  <si>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</si>
  <si>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</si>
  <si>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</si>
  <si>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</si>
  <si>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</si>
  <si>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</si>
  <si>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</si>
  <si>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</si>
  <si>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</si>
  <si>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</si>
  <si>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</si>
  <si>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</si>
  <si>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</si>
  <si>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</si>
  <si>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</si>
  <si>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</si>
  <si>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</si>
  <si>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</si>
  <si>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</si>
  <si>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</si>
  <si>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</si>
  <si>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</si>
  <si>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</si>
  <si>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</si>
  <si>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</si>
  <si>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</si>
  <si>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</si>
  <si>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</si>
  <si>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</si>
  <si>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</si>
  <si>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</si>
  <si>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</si>
  <si>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</si>
  <si>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</si>
  <si>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</si>
  <si>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</si>
  <si>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</si>
  <si>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</si>
  <si>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</si>
  <si>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</si>
  <si>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</si>
  <si>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</si>
  <si>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</si>
  <si>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</si>
  <si>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</si>
  <si>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</si>
  <si>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</si>
  <si>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</si>
  <si>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</si>
  <si>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</si>
  <si>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</si>
  <si>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</si>
  <si>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</si>
  <si>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</si>
  <si>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</si>
  <si>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</si>
  <si>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</si>
  <si>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</si>
  <si>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</si>
  <si>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</si>
  <si>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</si>
  <si>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</si>
  <si>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</si>
  <si>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</si>
  <si>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</si>
  <si>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</si>
  <si>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</si>
  <si>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</si>
  <si>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</si>
  <si>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</si>
  <si>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</si>
  <si>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</si>
  <si>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</si>
  <si>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</si>
  <si>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</si>
  <si>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</si>
  <si>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</si>
  <si>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</si>
  <si>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</si>
  <si>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</si>
  <si>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</si>
  <si>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</si>
  <si>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</si>
  <si>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</si>
  <si>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</si>
  <si>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</si>
  <si>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</si>
  <si>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</si>
  <si>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</si>
  <si>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</si>
  <si>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</si>
  <si>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</si>
  <si>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</si>
  <si>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</si>
  <si>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</si>
  <si>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</si>
  <si>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</si>
  <si>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</si>
  <si>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</si>
  <si>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</si>
  <si>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</si>
  <si>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</si>
  <si>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</si>
  <si>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</si>
  <si>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</si>
  <si>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</si>
  <si>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</si>
  <si>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</si>
  <si>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</si>
  <si>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</si>
  <si>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</si>
  <si>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</si>
  <si>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</si>
  <si>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</si>
  <si>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</si>
  <si>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</si>
  <si>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</si>
  <si>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</si>
  <si>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</si>
  <si>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</si>
  <si>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</si>
  <si>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</si>
  <si>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</si>
  <si>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</si>
  <si>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</si>
  <si>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</si>
  <si>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</si>
  <si>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</si>
  <si>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</si>
  <si>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</si>
  <si>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</si>
  <si>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</si>
  <si>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</si>
  <si>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</si>
  <si>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</si>
  <si>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</si>
  <si>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</si>
  <si>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</si>
  <si>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</si>
  <si>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</si>
  <si>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</si>
  <si>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</si>
  <si>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</si>
  <si>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</si>
  <si>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</si>
  <si>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</si>
  <si>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</si>
  <si>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</si>
  <si>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</si>
  <si>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</si>
  <si>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</si>
  <si>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</si>
  <si>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</si>
  <si>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</si>
  <si>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</si>
  <si>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</si>
  <si>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</si>
  <si>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</si>
  <si>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</si>
  <si>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</si>
  <si>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</si>
  <si>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</si>
  <si>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</si>
  <si>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</si>
  <si>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</si>
  <si>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</si>
  <si>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</si>
  <si>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</si>
  <si>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</si>
  <si>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</si>
  <si>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</si>
  <si>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</si>
  <si>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</si>
  <si>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</si>
  <si>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</si>
  <si>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</si>
  <si>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</si>
  <si>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</si>
  <si>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</si>
  <si>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</si>
  <si>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</si>
  <si>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</si>
  <si>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</si>
  <si>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</si>
  <si>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</si>
  <si>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</si>
  <si>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</si>
  <si>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</si>
  <si>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</si>
  <si>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</si>
  <si>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</si>
  <si>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</si>
  <si>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</si>
  <si>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</si>
  <si>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</si>
  <si>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</si>
  <si>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</si>
  <si>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</si>
  <si>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</si>
  <si>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</si>
  <si>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</si>
  <si>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</si>
  <si>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</si>
  <si>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</si>
  <si>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</si>
  <si>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</si>
  <si>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</si>
  <si>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</si>
  <si>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</si>
  <si>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</si>
  <si>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</si>
  <si>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</si>
  <si>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</si>
  <si>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</si>
  <si>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</si>
  <si>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</si>
  <si>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</si>
  <si>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</si>
  <si>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</si>
  <si>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</si>
  <si>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</si>
  <si>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</si>
  <si>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</si>
  <si>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</si>
  <si>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</si>
  <si>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</si>
  <si>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</si>
  <si>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</si>
  <si>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</si>
  <si>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</si>
  <si>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</si>
  <si>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</si>
  <si>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</si>
  <si>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</si>
  <si>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</si>
  <si>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</si>
  <si>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</si>
  <si>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</si>
  <si>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</si>
  <si>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</si>
  <si>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</si>
  <si>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</si>
  <si>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</si>
  <si>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</si>
  <si>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</si>
  <si>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</si>
  <si>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</si>
  <si>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</si>
  <si>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</si>
  <si>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</si>
  <si>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</si>
  <si>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</si>
  <si>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</si>
  <si>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</si>
  <si>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</si>
  <si>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</si>
  <si>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</si>
  <si>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</si>
  <si>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</si>
  <si>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</si>
  <si>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</si>
  <si>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</si>
  <si>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</si>
  <si>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</si>
  <si>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</si>
  <si>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</si>
  <si>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</si>
  <si>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</si>
  <si>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</si>
  <si>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</si>
  <si>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</si>
  <si>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</si>
  <si>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</si>
  <si>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</si>
  <si>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</si>
  <si>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</si>
  <si>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</si>
  <si>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</si>
  <si>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</si>
  <si>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</si>
  <si>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</si>
  <si>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</si>
  <si>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</si>
  <si>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</si>
  <si>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</si>
  <si>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</si>
  <si>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</si>
  <si>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</si>
  <si>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</si>
  <si>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</si>
  <si>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</si>
  <si>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</si>
  <si>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</si>
  <si>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</si>
  <si>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</si>
  <si>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</si>
  <si>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</si>
  <si>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</si>
  <si>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</si>
  <si>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</si>
  <si>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</si>
  <si>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</si>
  <si>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</si>
  <si>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</si>
  <si>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</si>
  <si>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</si>
  <si>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</si>
  <si>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</si>
  <si>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</si>
  <si>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</si>
  <si>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</si>
  <si>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</si>
  <si>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</si>
  <si>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</si>
  <si>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</si>
  <si>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</si>
  <si>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</si>
  <si>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</si>
  <si>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</si>
  <si>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</si>
  <si>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</si>
  <si>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</si>
  <si>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</si>
  <si>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</si>
  <si>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</si>
  <si>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</si>
  <si>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</si>
  <si>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</si>
  <si>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</si>
  <si>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</si>
  <si>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</si>
  <si>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</si>
  <si>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</si>
  <si>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</si>
  <si>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</si>
  <si>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</si>
  <si>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</si>
  <si>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</si>
  <si>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</si>
  <si>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</si>
  <si>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</si>
  <si>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</si>
  <si>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</si>
  <si>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</si>
  <si>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</si>
  <si>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</si>
  <si>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</si>
  <si>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</si>
  <si>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</si>
  <si>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</si>
  <si>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</si>
  <si>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</si>
  <si>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</si>
  <si>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</si>
  <si>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</si>
  <si>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</si>
  <si>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</si>
  <si>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</si>
  <si>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</si>
  <si>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</si>
  <si>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</si>
  <si>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</si>
  <si>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</si>
  <si>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</si>
  <si>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</si>
  <si>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</si>
  <si>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</si>
  <si>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</si>
  <si>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</si>
  <si>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</si>
  <si>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</si>
  <si>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</si>
  <si>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</si>
  <si>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</si>
  <si>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</si>
  <si>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</si>
  <si>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</si>
  <si>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</si>
  <si>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</si>
  <si>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</si>
  <si>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</si>
  <si>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</si>
  <si>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</si>
  <si>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</si>
  <si>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</si>
  <si>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</si>
  <si>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</si>
  <si>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</si>
  <si>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</si>
  <si>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</si>
  <si>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</si>
  <si>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</si>
  <si>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</si>
  <si>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</si>
  <si>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</si>
  <si>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</si>
  <si>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</si>
  <si>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</si>
  <si>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</si>
  <si>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</si>
  <si>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</si>
  <si>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</si>
  <si>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</si>
  <si>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</si>
  <si>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</si>
  <si>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</si>
  <si>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</si>
  <si>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</si>
  <si>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</si>
  <si>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</si>
  <si>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</si>
  <si>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</si>
  <si>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</si>
  <si>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</si>
  <si>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</si>
  <si>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</si>
  <si>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</si>
  <si>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</si>
  <si>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</si>
  <si>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</si>
  <si>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</si>
  <si>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</si>
  <si>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</si>
  <si>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</si>
  <si>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</si>
  <si>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</si>
  <si>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</si>
  <si>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</si>
  <si>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</si>
  <si>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</si>
  <si>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</si>
  <si>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</si>
  <si>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</si>
  <si>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</si>
  <si>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</si>
  <si>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</si>
  <si>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</si>
  <si>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</si>
  <si>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</si>
  <si>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</si>
  <si>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</si>
  <si>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</si>
  <si>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</si>
  <si>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</si>
  <si>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</si>
  <si>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</si>
  <si>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</si>
  <si>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</si>
  <si>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</si>
  <si>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</si>
  <si>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</si>
  <si>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</si>
  <si>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</si>
  <si>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</si>
  <si>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</si>
  <si>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</si>
  <si>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</si>
  <si>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</si>
  <si>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</si>
  <si>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</si>
  <si>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</si>
  <si>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</si>
  <si>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</si>
  <si>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</si>
  <si>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</si>
  <si>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</si>
  <si>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</si>
  <si>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</si>
  <si>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</si>
  <si>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</si>
  <si>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</si>
  <si>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</si>
  <si>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</si>
  <si>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</si>
  <si>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</si>
  <si>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</si>
  <si>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</si>
  <si>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</si>
  <si>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</si>
  <si>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</si>
  <si>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</si>
  <si>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</si>
  <si>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</si>
  <si>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</si>
  <si>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</si>
  <si>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</si>
  <si>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</si>
  <si>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</si>
  <si>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</si>
  <si>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</si>
  <si>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</si>
  <si>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</si>
  <si>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</si>
  <si>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</si>
  <si>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</si>
  <si>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</si>
  <si>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</si>
  <si>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</si>
  <si>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</si>
  <si>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</si>
  <si>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</si>
  <si>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</si>
  <si>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</si>
  <si>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</si>
  <si>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</si>
  <si>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</si>
  <si>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</si>
  <si>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</si>
  <si>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</si>
  <si>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</si>
  <si>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</si>
  <si>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</si>
  <si>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</si>
  <si>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</si>
  <si>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</si>
  <si>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</si>
  <si>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</si>
  <si>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</si>
  <si>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</si>
  <si>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</si>
  <si>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</si>
  <si>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</si>
  <si>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</si>
  <si>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</si>
  <si>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</si>
  <si>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</si>
  <si>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</si>
  <si>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</si>
  <si>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</si>
  <si>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</si>
  <si>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</si>
  <si>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</si>
  <si>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</si>
  <si>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</si>
  <si>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</si>
  <si>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</si>
  <si>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</si>
  <si>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</si>
  <si>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</si>
  <si>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</si>
  <si>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</si>
  <si>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</si>
  <si>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</si>
  <si>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</si>
  <si>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</si>
  <si>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</si>
  <si>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</si>
  <si>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</si>
  <si>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</si>
  <si>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</si>
  <si>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</si>
  <si>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</si>
  <si>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</si>
  <si>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</si>
  <si>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</si>
  <si>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</si>
  <si>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</si>
  <si>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</si>
  <si>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</si>
  <si>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</si>
  <si>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</si>
  <si>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</si>
  <si>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</si>
  <si>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</si>
  <si>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</si>
  <si>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</si>
  <si>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</si>
  <si>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</si>
  <si>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</si>
  <si>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</si>
  <si>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</si>
  <si>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</si>
  <si>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</si>
  <si>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</si>
  <si>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</si>
  <si>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</si>
  <si>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</si>
  <si>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</si>
  <si>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</si>
  <si>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</si>
  <si>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</si>
  <si>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</si>
  <si>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</si>
  <si>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</si>
  <si>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</si>
  <si>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</si>
  <si>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</si>
  <si>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</si>
  <si>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</si>
  <si>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</si>
  <si>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</si>
  <si>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</si>
  <si>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</si>
  <si>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</si>
  <si>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</si>
  <si>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</si>
  <si>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</si>
  <si>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</si>
  <si>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</si>
  <si>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</si>
  <si>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</si>
  <si>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</si>
  <si>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</si>
  <si>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</si>
  <si>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</si>
  <si>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</si>
  <si>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</si>
  <si>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</si>
  <si>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</si>
  <si>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</si>
  <si>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</si>
  <si>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</si>
  <si>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</si>
  <si>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</si>
  <si>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</si>
  <si>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</si>
  <si>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</si>
  <si>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</si>
  <si>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</si>
  <si>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</si>
  <si>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</si>
  <si>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</si>
  <si>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</si>
  <si>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</si>
  <si>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</si>
  <si>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</si>
  <si>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</si>
  <si>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</si>
  <si>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</si>
  <si>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</si>
  <si>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</si>
  <si>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</si>
  <si>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</si>
  <si>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</si>
  <si>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</si>
  <si>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</si>
  <si>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</si>
  <si>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</si>
  <si>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</si>
  <si>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</si>
  <si>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</si>
  <si>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</si>
  <si>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</si>
  <si>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</si>
  <si>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</si>
  <si>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</si>
  <si>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</si>
  <si>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</si>
  <si>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</si>
  <si>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</si>
  <si>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</si>
  <si>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</si>
  <si>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</si>
  <si>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</si>
  <si>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</si>
  <si>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</si>
  <si>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</si>
  <si>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</si>
  <si>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</si>
  <si>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</si>
  <si>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</si>
  <si>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</si>
  <si>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</si>
  <si>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</si>
  <si>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</si>
  <si>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</si>
  <si>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</si>
  <si>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</si>
  <si>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</si>
  <si>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</si>
  <si>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</si>
  <si>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</si>
  <si>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</si>
  <si>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</si>
  <si>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</si>
  <si>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</si>
  <si>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</si>
  <si>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</si>
  <si>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</si>
  <si>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</si>
  <si>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</si>
  <si>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</si>
  <si>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</si>
  <si>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</si>
  <si>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</si>
  <si>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</si>
  <si>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</si>
  <si>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</si>
  <si>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</si>
  <si>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</si>
  <si>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</si>
  <si>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</si>
  <si>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</si>
  <si>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</si>
  <si>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</si>
  <si>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</si>
  <si>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</si>
  <si>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</si>
  <si>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</si>
  <si>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</si>
  <si>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</si>
  <si>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</si>
  <si>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</si>
  <si>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</si>
  <si>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</si>
  <si>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</si>
  <si>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</si>
  <si>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</si>
  <si>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</si>
  <si>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</si>
  <si>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</si>
  <si>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</si>
  <si>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</si>
  <si>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</si>
  <si>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</si>
  <si>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</si>
  <si>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</si>
  <si>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</si>
  <si>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</si>
  <si>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</si>
  <si>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</si>
  <si>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</si>
  <si>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</si>
  <si>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</si>
  <si>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</si>
  <si>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</si>
  <si>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</si>
  <si>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</si>
  <si>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</si>
  <si>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</si>
  <si>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</si>
  <si>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</si>
  <si>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</si>
  <si>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</si>
  <si>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</si>
  <si>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</si>
  <si>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</si>
  <si>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</si>
  <si>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</si>
  <si>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</si>
  <si>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</si>
  <si>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</si>
  <si>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</si>
  <si>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</si>
  <si>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</si>
  <si>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</si>
  <si>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</si>
  <si>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</si>
  <si>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</si>
  <si>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</si>
  <si>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</si>
  <si>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</si>
  <si>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</si>
  <si>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</si>
  <si>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</si>
  <si>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</si>
  <si>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</si>
  <si>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</si>
  <si>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</si>
  <si>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</si>
  <si>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</si>
  <si>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</si>
  <si>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</si>
  <si>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</si>
  <si>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</si>
  <si>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</si>
  <si>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</si>
  <si>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</si>
  <si>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</si>
  <si>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</si>
  <si>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</si>
  <si>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</si>
  <si>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</si>
  <si>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</si>
  <si>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</si>
  <si>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</si>
  <si>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</si>
  <si>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</si>
  <si>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</si>
  <si>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</si>
  <si>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</si>
  <si>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</si>
  <si>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</si>
  <si>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</si>
  <si>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</si>
  <si>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</si>
  <si>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</si>
  <si>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</si>
  <si>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</si>
  <si>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</si>
  <si>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</si>
  <si>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</si>
  <si>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</si>
  <si>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</si>
  <si>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</si>
  <si>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</si>
  <si>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</si>
  <si>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</si>
  <si>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</si>
  <si>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</si>
  <si>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</si>
  <si>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</si>
  <si>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</si>
  <si>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</si>
  <si>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</si>
  <si>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</si>
  <si>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</si>
  <si>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</si>
  <si>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</si>
  <si>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</si>
  <si>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</si>
  <si>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</si>
  <si>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</si>
  <si>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</si>
  <si>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</si>
  <si>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</si>
  <si>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</si>
  <si>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</si>
  <si>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</si>
  <si>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</si>
  <si>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</si>
  <si>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</si>
  <si>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</si>
  <si>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</si>
  <si>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</si>
  <si>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</si>
  <si>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</si>
  <si>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</si>
  <si>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</si>
  <si>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</si>
  <si>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</si>
  <si>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</si>
  <si>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</si>
  <si>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</si>
  <si>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</si>
  <si>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</si>
  <si>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</si>
  <si>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</si>
  <si>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</si>
  <si>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</si>
  <si>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</si>
  <si>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</si>
  <si>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</si>
  <si>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</si>
  <si>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</si>
  <si>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</si>
  <si>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</si>
  <si>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</si>
  <si>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</si>
  <si>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</si>
  <si>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</si>
  <si>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</si>
  <si>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</si>
  <si>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</si>
  <si>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</si>
  <si>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</si>
  <si>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</si>
  <si>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</si>
  <si>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</si>
  <si>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</si>
  <si>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</si>
  <si>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</si>
  <si>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</si>
  <si>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</si>
  <si>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</si>
  <si>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</si>
  <si>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</si>
  <si>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</si>
  <si>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</si>
  <si>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</si>
  <si>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</si>
  <si>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</si>
  <si>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</si>
  <si>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</si>
  <si>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</si>
  <si>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</si>
  <si>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</si>
  <si>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</si>
  <si>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</si>
  <si>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</si>
  <si>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</si>
  <si>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</si>
  <si>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</si>
  <si>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</si>
  <si>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</si>
  <si>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</si>
  <si>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</si>
  <si>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</si>
  <si>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</si>
  <si>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</si>
  <si>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</si>
  <si>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</si>
  <si>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</si>
  <si>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</si>
  <si>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</si>
  <si>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</si>
  <si>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</si>
  <si>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</si>
  <si>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</si>
  <si>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</si>
  <si>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</si>
  <si>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</si>
  <si>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</si>
  <si>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</si>
  <si>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</si>
  <si>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</si>
  <si>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</si>
  <si>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</si>
  <si>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</si>
  <si>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</si>
  <si>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</si>
  <si>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</si>
  <si>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</si>
  <si>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</si>
  <si>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</si>
  <si>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</si>
  <si>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</si>
  <si>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</si>
  <si>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</si>
  <si>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</si>
  <si>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</si>
  <si>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</si>
  <si>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</si>
  <si>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</si>
  <si>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</si>
  <si>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</si>
  <si>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</si>
  <si>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</si>
  <si>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</si>
  <si>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</si>
  <si>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</si>
  <si>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</si>
  <si>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</si>
  <si>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</si>
  <si>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</si>
  <si>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</si>
  <si>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</si>
  <si>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</si>
  <si>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</si>
  <si>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</si>
  <si>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</si>
  <si>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</si>
  <si>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</si>
  <si>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</si>
  <si>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</si>
  <si>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</si>
  <si>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</si>
  <si>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</si>
  <si>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</si>
  <si>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</si>
  <si>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</si>
  <si>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</si>
  <si>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</si>
  <si>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</si>
  <si>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</si>
  <si>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</si>
  <si>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</si>
  <si>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</si>
  <si>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</si>
  <si>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</si>
  <si>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</si>
  <si>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</si>
  <si>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</si>
  <si>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</si>
  <si>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</si>
  <si>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</si>
  <si>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</si>
  <si>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</si>
  <si>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</si>
  <si>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</si>
  <si>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</si>
  <si>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</si>
  <si>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</si>
  <si>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</si>
  <si>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</si>
  <si>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</si>
  <si>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</si>
  <si>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</si>
  <si>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</si>
  <si>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</si>
  <si>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</si>
  <si>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</si>
  <si>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</si>
  <si>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</si>
  <si>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</si>
  <si>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</si>
  <si>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</si>
  <si>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</si>
  <si>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</si>
  <si>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</si>
  <si>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</si>
  <si>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</si>
  <si>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</si>
  <si>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</si>
  <si>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</si>
  <si>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</si>
  <si>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</si>
  <si>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</si>
  <si>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</si>
  <si>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</si>
  <si>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</si>
  <si>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</si>
  <si>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</si>
  <si>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</si>
  <si>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</si>
  <si>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</si>
  <si>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</si>
  <si>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</si>
  <si>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</si>
  <si>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</si>
  <si>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</si>
  <si>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</si>
  <si>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</si>
  <si>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</si>
  <si>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</si>
  <si>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</si>
  <si>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</si>
  <si>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</si>
  <si>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</si>
  <si>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</si>
  <si>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</si>
  <si>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</si>
  <si>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</si>
  <si>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</si>
  <si>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</si>
  <si>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</si>
  <si>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</si>
  <si>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</si>
  <si>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</si>
  <si>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</si>
  <si>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</si>
  <si>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</si>
  <si>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</si>
  <si>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</si>
  <si>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</si>
  <si>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</si>
  <si>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</si>
  <si>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</si>
  <si>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</si>
  <si>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</si>
  <si>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</si>
  <si>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</si>
  <si>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</si>
  <si>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</si>
  <si>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</si>
  <si>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</si>
  <si>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</si>
  <si>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</si>
  <si>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</si>
  <si>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</si>
  <si>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</si>
  <si>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</si>
  <si>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</si>
  <si>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</si>
  <si>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</si>
  <si>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</si>
  <si>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</si>
  <si>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</si>
  <si>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</si>
  <si>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</si>
  <si>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</si>
  <si>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</si>
  <si>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</si>
  <si>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</si>
  <si>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</si>
  <si>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</si>
  <si>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</si>
  <si>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</si>
  <si>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</si>
  <si>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</si>
  <si>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</si>
  <si>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</si>
  <si>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</si>
  <si>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</si>
  <si>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</si>
  <si>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</si>
  <si>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</si>
  <si>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</si>
  <si>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</si>
  <si>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</si>
  <si>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</si>
  <si>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</si>
  <si>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</si>
  <si>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</si>
  <si>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</si>
  <si>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</si>
  <si>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</si>
  <si>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</si>
  <si>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</si>
  <si>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</si>
  <si>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</si>
  <si>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</si>
  <si>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</si>
  <si>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</si>
  <si>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</si>
  <si>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</si>
  <si>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</si>
  <si>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</si>
  <si>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</si>
  <si>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</si>
  <si>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</si>
  <si>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</si>
  <si>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</si>
  <si>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</si>
  <si>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</si>
  <si>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</si>
  <si>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</si>
  <si>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</si>
  <si>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</si>
  <si>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</si>
  <si>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</si>
  <si>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</si>
  <si>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</si>
  <si>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</si>
  <si>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</si>
  <si>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</si>
  <si>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</si>
  <si>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</si>
  <si>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</si>
  <si>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</si>
  <si>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</si>
  <si>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</si>
  <si>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</si>
  <si>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</si>
  <si>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</si>
  <si>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</si>
  <si>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</si>
  <si>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</si>
  <si>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</si>
  <si>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</si>
  <si>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</si>
  <si>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</si>
  <si>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</si>
  <si>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</si>
  <si>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</si>
  <si>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</si>
  <si>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</si>
  <si>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</si>
  <si>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</si>
  <si>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</si>
  <si>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</si>
  <si>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</si>
  <si>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</si>
  <si>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</si>
  <si>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</si>
  <si>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</si>
  <si>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</si>
  <si>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</si>
  <si>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</si>
  <si>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</si>
  <si>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</si>
  <si>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</si>
  <si>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</si>
  <si>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</si>
  <si>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</si>
  <si>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</si>
  <si>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</si>
  <si>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</si>
  <si>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</si>
  <si>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</si>
  <si>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</si>
  <si>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</si>
  <si>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</si>
  <si>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</si>
  <si>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</si>
  <si>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</si>
  <si>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</si>
  <si>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</si>
  <si>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</si>
  <si>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</si>
  <si>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</si>
  <si>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</si>
  <si>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</si>
  <si>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</si>
  <si>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</si>
  <si>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</si>
  <si>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</si>
  <si>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</si>
  <si>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</si>
  <si>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</si>
  <si>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</si>
  <si>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</si>
  <si>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</si>
  <si>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</si>
  <si>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</si>
  <si>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</si>
  <si>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</si>
  <si>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</si>
  <si>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</si>
  <si>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</si>
  <si>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</si>
  <si>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</si>
  <si>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</si>
  <si>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</si>
  <si>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</si>
  <si>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</si>
  <si>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</si>
  <si>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</si>
  <si>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</si>
  <si>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</si>
  <si>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</si>
  <si>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</si>
  <si>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</si>
  <si>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</si>
  <si>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</si>
  <si>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</si>
  <si>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</si>
  <si>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</si>
  <si>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</si>
  <si>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</si>
  <si>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</si>
  <si>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</si>
  <si>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</si>
  <si>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</si>
  <si>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</si>
  <si>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</si>
  <si>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</si>
  <si>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</si>
  <si>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</si>
  <si>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</si>
  <si>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</si>
  <si>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</si>
  <si>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</si>
  <si>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</si>
  <si>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</si>
  <si>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</si>
  <si>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</si>
  <si>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</si>
  <si>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</si>
  <si>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</si>
  <si>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</si>
  <si>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</si>
  <si>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</si>
  <si>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</si>
  <si>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</si>
  <si>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</si>
  <si>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</si>
  <si>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</si>
  <si>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</si>
  <si>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</si>
  <si>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</si>
  <si>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</si>
  <si>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</si>
  <si>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</si>
  <si>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</si>
  <si>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</si>
  <si>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</si>
  <si>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</si>
  <si>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</si>
  <si>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</si>
  <si>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</si>
  <si>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</si>
  <si>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</si>
  <si>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</si>
  <si>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</si>
  <si>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</si>
  <si>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</si>
  <si>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</si>
  <si>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</si>
  <si>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</si>
  <si>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</si>
  <si>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</si>
  <si>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</si>
  <si>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</si>
  <si>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</si>
  <si>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</si>
  <si>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</si>
  <si>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</si>
  <si>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</si>
  <si>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</si>
  <si>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</si>
  <si>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</si>
  <si>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</si>
  <si>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</si>
  <si>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</si>
  <si>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</si>
  <si>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</si>
  <si>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</si>
  <si>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</si>
  <si>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</si>
  <si>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</si>
  <si>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</si>
  <si>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</si>
  <si>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</si>
  <si>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</si>
  <si>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</si>
  <si>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</si>
  <si>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</si>
  <si>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</si>
  <si>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</si>
  <si>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</si>
  <si>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</si>
  <si>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</si>
  <si>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</si>
  <si>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</si>
  <si>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</si>
  <si>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</si>
  <si>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</si>
  <si>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</si>
  <si>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</si>
  <si>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</si>
  <si>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</si>
  <si>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</si>
  <si>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</si>
  <si>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</si>
  <si>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</si>
  <si>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</si>
  <si>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</si>
  <si>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</si>
  <si>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</si>
  <si>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</si>
  <si>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</si>
  <si>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</si>
  <si>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</si>
  <si>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</si>
  <si>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</si>
  <si>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</si>
  <si>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</si>
  <si>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</si>
  <si>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</si>
  <si>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</si>
  <si>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</si>
  <si>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</si>
  <si>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</si>
  <si>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</si>
  <si>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</si>
  <si>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</si>
  <si>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</si>
  <si>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</si>
  <si>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</si>
  <si>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</si>
  <si>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</si>
  <si>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</si>
  <si>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</si>
  <si>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</si>
  <si>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</si>
  <si>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</si>
  <si>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</si>
  <si>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</si>
  <si>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</si>
  <si>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</si>
  <si>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</si>
  <si>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</si>
  <si>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</si>
  <si>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</si>
  <si>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</si>
  <si>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</si>
  <si>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</si>
  <si>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</si>
  <si>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</si>
  <si>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</si>
  <si>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</si>
  <si>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</si>
  <si>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</si>
  <si>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</si>
  <si>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</si>
  <si>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</si>
  <si>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</si>
  <si>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</si>
  <si>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</si>
  <si>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</si>
  <si>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</si>
  <si>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</si>
  <si>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</si>
  <si>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</si>
  <si>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</si>
  <si>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</si>
  <si>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</si>
  <si>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</si>
  <si>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</si>
  <si>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</si>
  <si>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</si>
  <si>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</si>
  <si>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</si>
  <si>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</si>
  <si>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</si>
  <si>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</si>
  <si>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</si>
  <si>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</si>
  <si>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</si>
  <si>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</si>
  <si>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</si>
  <si>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</si>
  <si>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</si>
  <si>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</si>
  <si>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</si>
  <si>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</si>
  <si>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</si>
  <si>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</si>
  <si>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</si>
  <si>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</si>
  <si>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</si>
  <si>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</si>
  <si>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</si>
  <si>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</si>
  <si>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</si>
  <si>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</si>
  <si>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</si>
  <si>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</si>
  <si>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</si>
  <si>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</si>
  <si>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</si>
  <si>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</si>
  <si>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</si>
  <si>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</si>
  <si>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</si>
  <si>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</si>
  <si>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</si>
  <si>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</si>
  <si>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</si>
  <si>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</si>
  <si>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</si>
  <si>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</si>
  <si>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</si>
  <si>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</si>
  <si>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</si>
  <si>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</si>
  <si>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</si>
  <si>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</si>
  <si>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</si>
  <si>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</si>
  <si>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</si>
  <si>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</si>
  <si>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</si>
  <si>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</si>
  <si>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</si>
  <si>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</si>
  <si>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</si>
  <si>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</si>
  <si>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</si>
  <si>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</si>
  <si>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</si>
  <si>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</si>
  <si>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</si>
  <si>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</si>
  <si>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</si>
  <si>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</si>
  <si>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</si>
  <si>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</si>
  <si>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</si>
  <si>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</si>
  <si>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</si>
  <si>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</si>
  <si>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</si>
  <si>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</si>
  <si>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</si>
  <si>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</si>
  <si>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</si>
  <si>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</si>
  <si>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</si>
  <si>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</si>
  <si>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</si>
  <si>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</si>
  <si>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</si>
  <si>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</si>
  <si>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</si>
  <si>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</si>
  <si>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</si>
  <si>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</si>
  <si>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</si>
  <si>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</si>
  <si>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</si>
  <si>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</si>
  <si>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</si>
  <si>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</si>
  <si>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</si>
  <si>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</si>
  <si>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</si>
  <si>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</si>
  <si>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</si>
  <si>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</si>
  <si>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</si>
  <si>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</si>
  <si>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</si>
  <si>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</si>
  <si>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</si>
  <si>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</si>
  <si>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</si>
  <si>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</si>
  <si>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</si>
  <si>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</si>
  <si>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</si>
  <si>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</si>
  <si>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</si>
  <si>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</si>
  <si>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</si>
  <si>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</si>
  <si>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</si>
  <si>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</si>
  <si>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</si>
  <si>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</si>
  <si>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</si>
  <si>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</si>
  <si>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</si>
  <si>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</si>
  <si>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</si>
  <si>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</si>
  <si>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</si>
  <si>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</si>
  <si>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</si>
  <si>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</si>
  <si>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</si>
  <si>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</si>
  <si>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</si>
  <si>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</si>
  <si>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</si>
  <si>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</si>
  <si>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</si>
  <si>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</si>
  <si>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</si>
  <si>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</si>
  <si>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</si>
  <si>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</si>
  <si>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</si>
  <si>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</si>
  <si>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</si>
  <si>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</si>
  <si>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</si>
  <si>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</si>
  <si>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</si>
  <si>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</si>
  <si>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</si>
  <si>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</si>
  <si>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</si>
  <si>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</si>
  <si>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</si>
  <si>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</si>
  <si>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</si>
  <si>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</si>
  <si>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</si>
  <si>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</si>
  <si>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</si>
  <si>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</si>
  <si>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</si>
  <si>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</si>
  <si>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</si>
  <si>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</si>
  <si>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</si>
  <si>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</si>
  <si>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</si>
  <si>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</si>
  <si>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</si>
  <si>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</si>
  <si>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</si>
  <si>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</si>
  <si>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</si>
  <si>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</si>
  <si>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</si>
  <si>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</si>
  <si>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</si>
  <si>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</si>
  <si>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</si>
  <si>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</si>
  <si>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</si>
  <si>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</si>
  <si>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</si>
  <si>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</si>
  <si>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</si>
  <si>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</si>
  <si>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</si>
  <si>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</si>
  <si>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</si>
  <si>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</si>
  <si>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</si>
  <si>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</si>
  <si>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</si>
  <si>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</si>
  <si>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</si>
  <si>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</si>
  <si>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</si>
  <si>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</si>
  <si>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</si>
  <si>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</si>
  <si>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</si>
  <si>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</si>
  <si>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</si>
  <si>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</si>
  <si>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</si>
  <si>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</si>
  <si>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</si>
  <si>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</si>
  <si>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</si>
  <si>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</si>
  <si>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</si>
  <si>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</si>
  <si>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</si>
  <si>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</si>
  <si>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</si>
  <si>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</si>
  <si>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</si>
  <si>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</si>
  <si>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</si>
  <si>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</si>
  <si>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</si>
  <si>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</si>
  <si>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</si>
  <si>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</si>
  <si>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</si>
  <si>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</si>
  <si>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</si>
  <si>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</si>
  <si>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</si>
  <si>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</si>
  <si>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</si>
  <si>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</si>
  <si>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</si>
  <si>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</si>
  <si>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</si>
  <si>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</si>
  <si>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</si>
  <si>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</si>
  <si>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</si>
  <si>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</si>
  <si>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</si>
  <si>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NEWCOD</t>
  </si>
  <si>
    <t>ATTENTION : écart entre rec. par grp (0 %) et</t>
  </si>
  <si>
    <t>Robustesse:</t>
  </si>
  <si>
    <t>Paspalum distichum</t>
  </si>
  <si>
    <t>Rorippa sylvestris</t>
  </si>
  <si>
    <t>AQUASCOP</t>
  </si>
  <si>
    <t>Bidens frondosa</t>
  </si>
  <si>
    <t>très élevé</t>
  </si>
  <si>
    <t>(très élevé)</t>
  </si>
  <si>
    <t>GARDON D'ALES</t>
  </si>
  <si>
    <t>St Hilaire de Brethmas</t>
  </si>
  <si>
    <t>06128000</t>
  </si>
  <si>
    <t>V. Bouchareychas / A. Corbarieu</t>
  </si>
  <si>
    <t>7178b - RCS LR 2013</t>
  </si>
  <si>
    <t>Digitaria sanguinalis</t>
  </si>
  <si>
    <t xml:space="preserve"> rec. par taxa (12,0046 %)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</si>
</sst>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26.emf" /><Relationship Id="rId4" Type="http://schemas.openxmlformats.org/officeDocument/2006/relationships/image" Target="../media/image42.emf" /><Relationship Id="rId5" Type="http://schemas.openxmlformats.org/officeDocument/2006/relationships/image" Target="../media/image35.emf" /><Relationship Id="rId6" Type="http://schemas.openxmlformats.org/officeDocument/2006/relationships/image" Target="../media/image19.emf" /><Relationship Id="rId7" Type="http://schemas.openxmlformats.org/officeDocument/2006/relationships/image" Target="../media/image41.emf" /><Relationship Id="rId8" Type="http://schemas.openxmlformats.org/officeDocument/2006/relationships/image" Target="../media/image11.emf" /><Relationship Id="rId9" Type="http://schemas.openxmlformats.org/officeDocument/2006/relationships/image" Target="../media/image40.emf" /></Relationships>
</file>

<file path=xl/drawings/_rels/drawing3.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22.emf" /><Relationship Id="rId3" Type="http://schemas.openxmlformats.org/officeDocument/2006/relationships/image" Target="../media/image38.emf" /></Relationships>
</file>

<file path=xl/drawings/_rels/drawing4.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6.emf" /><Relationship Id="rId3" Type="http://schemas.openxmlformats.org/officeDocument/2006/relationships/image" Target="../media/image34.emf" /><Relationship Id="rId4" Type="http://schemas.openxmlformats.org/officeDocument/2006/relationships/image" Target="../media/image3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1.emf" /><Relationship Id="rId3" Type="http://schemas.openxmlformats.org/officeDocument/2006/relationships/image" Target="../media/image30.emf" /><Relationship Id="rId4" Type="http://schemas.openxmlformats.org/officeDocument/2006/relationships/image" Target="../media/image29.emf" /><Relationship Id="rId5" Type="http://schemas.openxmlformats.org/officeDocument/2006/relationships/image" Target="../media/image28.emf" /><Relationship Id="rId6" Type="http://schemas.openxmlformats.org/officeDocument/2006/relationships/image" Target="../media/image27.emf" /><Relationship Id="rId7" Type="http://schemas.openxmlformats.org/officeDocument/2006/relationships/image" Target="../media/image25.emf" /><Relationship Id="rId8" Type="http://schemas.openxmlformats.org/officeDocument/2006/relationships/image" Target="../media/image24.emf" /><Relationship Id="rId9" Type="http://schemas.openxmlformats.org/officeDocument/2006/relationships/image" Target="../media/image23.emf" /><Relationship Id="rId10" Type="http://schemas.openxmlformats.org/officeDocument/2006/relationships/image" Target="../media/image21.emf" /><Relationship Id="rId11" Type="http://schemas.openxmlformats.org/officeDocument/2006/relationships/image" Target="../media/image20.emf" /><Relationship Id="rId12" Type="http://schemas.openxmlformats.org/officeDocument/2006/relationships/image" Target="../media/image3.emf" /><Relationship Id="rId13" Type="http://schemas.openxmlformats.org/officeDocument/2006/relationships/image" Target="../media/image18.emf" /><Relationship Id="rId1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15.emf" /><Relationship Id="rId5" Type="http://schemas.openxmlformats.org/officeDocument/2006/relationships/image" Target="../media/image5.emf" /><Relationship Id="rId6" Type="http://schemas.openxmlformats.org/officeDocument/2006/relationships/image" Target="../media/image14.emf" /><Relationship Id="rId7" Type="http://schemas.openxmlformats.org/officeDocument/2006/relationships/image" Target="../media/image13.emf" /><Relationship Id="rId8" Type="http://schemas.openxmlformats.org/officeDocument/2006/relationships/image" Target="../media/image12.emf" /><Relationship Id="rId9" Type="http://schemas.openxmlformats.org/officeDocument/2006/relationships/image" Target="../media/image10.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4.emf" /><Relationship Id="rId13" Type="http://schemas.openxmlformats.org/officeDocument/2006/relationships/image" Target="../media/image7.emf" /><Relationship Id="rId1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0"/>
  <dimension ref="A1:BB94"/>
  <sheetViews>
    <sheetView showGridLines="0" showRowColHeaders="0" tabSelected="1" zoomScale="90" zoomScaleNormal="90" zoomScalePageLayoutView="80" workbookViewId="0" topLeftCell="A1">
      <selection activeCell="M4" sqref="M4"/>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2723</v>
      </c>
      <c r="B2" s="325"/>
      <c r="C2" s="249" t="s">
        <v>2730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2727</v>
      </c>
      <c r="B3" s="325"/>
      <c r="C3" s="247" t="s">
        <v>2728</v>
      </c>
      <c r="D3" s="186"/>
      <c r="E3" s="186"/>
      <c r="F3" s="378"/>
      <c r="G3" s="378"/>
      <c r="H3" s="379"/>
      <c r="I3" s="330"/>
      <c r="J3" s="379"/>
      <c r="K3" s="335" t="s">
        <v>2729</v>
      </c>
      <c r="L3" s="377"/>
      <c r="M3" s="329" t="s">
        <v>2731</v>
      </c>
      <c r="N3" s="376"/>
      <c r="O3" s="376"/>
      <c r="P3" s="470"/>
      <c r="Q3" s="183"/>
      <c r="R3" s="183"/>
      <c r="S3" s="183"/>
      <c r="T3" s="183"/>
      <c r="U3" s="183"/>
      <c r="V3" s="183"/>
      <c r="W3" s="280"/>
      <c r="X3" s="193"/>
    </row>
    <row r="4" spans="1:24" ht="13.5" thickBot="1">
      <c r="A4" s="248">
        <v>41512</v>
      </c>
      <c r="B4" s="187"/>
      <c r="C4" s="188"/>
      <c r="D4" s="189"/>
      <c r="E4" s="189"/>
      <c r="F4" s="188"/>
      <c r="G4" s="188"/>
      <c r="H4" s="189"/>
      <c r="I4" s="264" t="s">
        <v>1857</v>
      </c>
      <c r="J4" s="190"/>
      <c r="K4" s="190"/>
      <c r="L4" s="191"/>
      <c r="M4" s="191"/>
      <c r="N4" s="321" t="s">
        <v>2720</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7.956521739130435</v>
      </c>
      <c r="M5" s="590"/>
      <c r="N5" s="593" t="s">
        <v>920</v>
      </c>
      <c r="O5" s="594">
        <v>7.65</v>
      </c>
      <c r="P5" s="472"/>
      <c r="Q5" s="183"/>
      <c r="R5" s="183"/>
      <c r="S5" s="183"/>
      <c r="T5" s="183"/>
      <c r="U5" s="183"/>
      <c r="V5" s="183"/>
      <c r="W5" s="280"/>
      <c r="X5" s="192"/>
    </row>
    <row r="6" spans="1:24" ht="13.5" thickBot="1">
      <c r="A6" s="498" t="s">
        <v>1388</v>
      </c>
      <c r="B6" s="82" t="s">
        <v>1848</v>
      </c>
      <c r="C6" s="82" t="s">
        <v>1851</v>
      </c>
      <c r="D6" s="29"/>
      <c r="E6" s="29"/>
      <c r="F6" s="17"/>
      <c r="G6" s="3"/>
      <c r="H6" s="29"/>
      <c r="I6" s="281" t="s">
        <v>1843</v>
      </c>
      <c r="J6" s="276"/>
      <c r="K6" s="278"/>
      <c r="L6" s="592" t="s">
        <v>2725</v>
      </c>
      <c r="M6" s="591"/>
      <c r="N6" s="621" t="s">
        <v>2726</v>
      </c>
      <c r="O6" s="621"/>
      <c r="P6" s="473"/>
      <c r="Q6" s="183"/>
      <c r="R6" s="183"/>
      <c r="S6" s="183"/>
      <c r="T6" s="183"/>
      <c r="U6" s="183"/>
      <c r="V6" s="183"/>
      <c r="W6" s="280"/>
      <c r="X6" s="193"/>
    </row>
    <row r="7" spans="1:24" ht="12.75">
      <c r="A7" s="499" t="s">
        <v>2579</v>
      </c>
      <c r="B7" s="83">
        <v>54</v>
      </c>
      <c r="C7" s="84">
        <v>46</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8.545454545454545</v>
      </c>
      <c r="O8" s="510">
        <f>IF(ISERROR(AVERAGE(J23:J82)),"      -",AVERAGE(J23:J82))</f>
        <v>1.2727272727272727</v>
      </c>
      <c r="P8" s="474"/>
      <c r="Q8" s="183"/>
      <c r="R8" s="183"/>
      <c r="S8" s="183"/>
      <c r="T8" s="183"/>
      <c r="U8" s="183"/>
      <c r="V8" s="183"/>
      <c r="W8" s="280"/>
      <c r="X8" s="193"/>
    </row>
    <row r="9" spans="1:24" ht="13.5" thickBot="1">
      <c r="A9" s="498" t="s">
        <v>1872</v>
      </c>
      <c r="B9" s="160">
        <v>20</v>
      </c>
      <c r="C9" s="161">
        <v>2.5</v>
      </c>
      <c r="D9" s="200"/>
      <c r="E9" s="200"/>
      <c r="F9" s="164">
        <f aca="true" t="shared" si="0" ref="F9:F15">($B9*$B$7+$C9*$C$7)/100</f>
        <v>11.95</v>
      </c>
      <c r="G9" s="307"/>
      <c r="H9" s="201"/>
      <c r="I9" s="266"/>
      <c r="J9" s="262"/>
      <c r="K9" s="268"/>
      <c r="L9" s="202"/>
      <c r="M9" s="199" t="s">
        <v>1071</v>
      </c>
      <c r="N9" s="510">
        <f>IF(ISERROR(STDEVP(I23:I82)),"     -",STDEVP(I23:I82))</f>
        <v>2.606412943060264</v>
      </c>
      <c r="O9" s="510">
        <f>IF(ISERROR(STDEVP(J23:J82)),"      -",STDEVP(J23:J82))</f>
        <v>0.4453617714151233</v>
      </c>
      <c r="P9" s="474"/>
      <c r="Q9" s="183"/>
      <c r="R9" s="183"/>
      <c r="S9" s="183"/>
      <c r="T9" s="183"/>
      <c r="U9" s="183"/>
      <c r="V9" s="183"/>
      <c r="W9" s="283"/>
      <c r="X9" s="284"/>
    </row>
    <row r="10" spans="1:22" ht="13.5" thickTop="1">
      <c r="A10" s="500" t="s">
        <v>2577</v>
      </c>
      <c r="B10" s="496" t="s">
        <v>2575</v>
      </c>
      <c r="C10" s="402" t="s">
        <v>2576</v>
      </c>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12</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6</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1</v>
      </c>
      <c r="L13" s="208"/>
      <c r="M13" s="212" t="s">
        <v>1084</v>
      </c>
      <c r="N13" s="315">
        <f>COUNTIF(F23:F82,"&gt;0")</f>
        <v>18</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1</v>
      </c>
      <c r="L14" s="208"/>
      <c r="M14" s="213" t="s">
        <v>1083</v>
      </c>
      <c r="N14" s="316">
        <f>COUNTIF($I$23:$I$82,"&gt;-1")</f>
        <v>11</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6</v>
      </c>
      <c r="L15" s="208"/>
      <c r="M15" s="214" t="s">
        <v>1080</v>
      </c>
      <c r="N15" s="317">
        <f>COUNTIF(J23:J82,"=1")</f>
        <v>8</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3</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20.05</v>
      </c>
      <c r="C20" s="162">
        <f>SUM(C23:C82)</f>
        <v>2.5599999999999987</v>
      </c>
      <c r="D20" s="88"/>
      <c r="E20" s="340" t="s">
        <v>1035</v>
      </c>
      <c r="F20" s="166">
        <f>($B20*$B$7+$C20*$C$7)/100</f>
        <v>12.0046</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10.827</v>
      </c>
      <c r="C21" s="163">
        <f>C20*C7/100</f>
        <v>1.1775999999999993</v>
      </c>
      <c r="D21" s="33" t="str">
        <f>IF(F21=0,"",IF((ABS(F21-F19))&gt;(0.2*F21),CONCATENATE(" rec. par taxa (",F21," %) supérieur à 20 % !"),""))</f>
        <v> rec. par taxa (12,0046 %) supérieur à 20 % !</v>
      </c>
      <c r="E21" s="343" t="str">
        <f>IF(F21=0,"",IF((ABS(F21-F19))&gt;(0.2*F21),CONCATENATE("ATTENTION : écart entre rec. par grp (",F19," %) ","et",""),""))</f>
        <v>ATTENTION : écart entre rec. par grp (0 %) et</v>
      </c>
      <c r="F21" s="167">
        <f>B21+C21</f>
        <v>12.0046</v>
      </c>
      <c r="G21" s="245"/>
      <c r="H21" s="33"/>
      <c r="I21" s="6"/>
      <c r="J21" s="6"/>
      <c r="K21" s="7"/>
      <c r="L21" s="7"/>
      <c r="M21" s="8"/>
      <c r="N21" s="8"/>
      <c r="O21" s="468"/>
      <c r="P21" s="480"/>
      <c r="Q21" s="331" t="s">
        <v>1017</v>
      </c>
      <c r="R21" s="183"/>
      <c r="S21" s="183"/>
      <c r="T21" s="183"/>
      <c r="U21" s="183"/>
      <c r="V21" s="183" t="s">
        <v>1130</v>
      </c>
      <c r="W21" s="341" t="s">
        <v>2733</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10.5</v>
      </c>
      <c r="C23" s="240">
        <v>1</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6.13</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6.13</v>
      </c>
      <c r="R23" s="223">
        <f aca="true" t="shared" si="3" ref="R23:R54">IF(OR(ISTEXT(H23),Q23=0),"",IF(Q23&lt;0.1,1,IF(Q23&lt;1,2,IF(Q23&lt;10,3,IF(Q23&lt;50,4,IF(Q23&gt;=50,5,""))))))</f>
        <v>3</v>
      </c>
      <c r="S23" s="223">
        <f aca="true" t="shared" si="4" ref="S23:S54">IF(ISERROR(R23*I23),0,R23*I23)</f>
        <v>18</v>
      </c>
      <c r="T23" s="223">
        <f aca="true" t="shared" si="5" ref="T23:T54">IF(ISERROR(R23*I23*J23),0,R23*I23*J23)</f>
        <v>18</v>
      </c>
      <c r="U23" s="223">
        <f aca="true" t="shared" si="6" ref="U23:U54">IF(ISERROR(R23*J23),0,R23*J23)</f>
        <v>3</v>
      </c>
      <c r="V23" s="287">
        <f aca="true" t="shared" si="7" ref="V23:V54">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910</v>
      </c>
      <c r="B24" s="241">
        <v>0.005</v>
      </c>
      <c r="C24" s="242"/>
      <c r="D24" s="221" t="str">
        <f>IF(ISERROR(VLOOKUP($A24,'liste reference'!$A$7:$D$904,2,0)),IF(ISERROR(VLOOKUP($A24,'liste reference'!$B$7:$D$904,1,0)),"",VLOOKUP($A24,'liste reference'!$B$7:$D$904,1,0)),VLOOKUP($A24,'liste reference'!$A$7:$D$904,2,0))</f>
        <v>Diatoma sp.</v>
      </c>
      <c r="E24" s="224" t="e">
        <f>IF(D24="",,VLOOKUP(D24,D$22:D23,1,0))</f>
        <v>#N/A</v>
      </c>
      <c r="F24" s="38">
        <f t="shared" si="1"/>
        <v>0.0027</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12</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Diatoma sp.</v>
      </c>
      <c r="L24" s="333"/>
      <c r="M24" s="333"/>
      <c r="N24" s="333"/>
      <c r="O24" s="367"/>
      <c r="P24" s="367">
        <f>IF($A24="NEWCOD",IF($AC24="","No",$AC24),IF(ISTEXT($E24),"DEJA SAISI !",IF($A24="","",IF(ISERROR(VLOOKUP($A24,'liste reference'!A:S,19,FALSE)),IF(ISERROR(VLOOKUP($A24,'liste reference'!B:S,19,FALSE)),"",VLOOKUP($A24,'liste reference'!B:S,19,FALSE)),VLOOKUP($A24,'liste reference'!A:S,19,FALSE)))))</f>
        <v>6627</v>
      </c>
      <c r="Q24" s="222">
        <f t="shared" si="2"/>
        <v>0.0027</v>
      </c>
      <c r="R24" s="223">
        <f t="shared" si="3"/>
        <v>1</v>
      </c>
      <c r="S24" s="223">
        <f t="shared" si="4"/>
        <v>12</v>
      </c>
      <c r="T24" s="223">
        <f t="shared" si="5"/>
        <v>24</v>
      </c>
      <c r="U24" s="225">
        <f t="shared" si="6"/>
        <v>2</v>
      </c>
      <c r="V24" s="287">
        <f t="shared" si="7"/>
      </c>
      <c r="W24" s="289" t="s">
        <v>1130</v>
      </c>
      <c r="Y24" s="324" t="str">
        <f>IF(A24="new.cod","NEWCOD",IF(AND((Z24=""),ISTEXT(A24)),A24,IF(Z24="","",INDEX('liste reference'!$A$8:$A$904,Z24))))</f>
        <v>DIASPX</v>
      </c>
      <c r="Z24" s="183">
        <f>IF(ISERROR(MATCH(A24,'liste reference'!$A$8:$A$904,0)),IF(ISERROR(MATCH(A24,'liste reference'!$B$8:$B$904,0)),"",(MATCH(A24,'liste reference'!$B$8:$B$904,0))),(MATCH(A24,'liste reference'!$A$8:$A$904,0)))</f>
        <v>26</v>
      </c>
      <c r="AA24" s="385"/>
      <c r="AB24" s="372"/>
      <c r="AC24" s="372"/>
      <c r="BB24" s="183">
        <f t="shared" si="8"/>
        <v>1</v>
      </c>
    </row>
    <row r="25" spans="1:54" ht="12.75">
      <c r="A25" s="322" t="s">
        <v>920</v>
      </c>
      <c r="B25" s="241">
        <v>6</v>
      </c>
      <c r="C25" s="242">
        <v>1</v>
      </c>
      <c r="D25" s="221" t="str">
        <f>IF(ISERROR(VLOOKUP($A25,'liste reference'!$A$7:$D$904,2,0)),IF(ISERROR(VLOOKUP($A25,'liste reference'!$B$7:$D$904,1,0)),"",VLOOKUP($A25,'liste reference'!$B$7:$D$904,1,0)),VLOOKUP($A25,'liste reference'!$A$7:$D$904,2,0))</f>
        <v>Melosira sp.</v>
      </c>
      <c r="E25" s="224" t="e">
        <f>IF(D25="",,VLOOKUP(D25,D$22:D24,1,0))</f>
        <v>#N/A</v>
      </c>
      <c r="F25" s="38">
        <f t="shared" si="1"/>
        <v>3.7</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Melosira sp.</v>
      </c>
      <c r="L25" s="333"/>
      <c r="M25" s="333"/>
      <c r="N25" s="333"/>
      <c r="O25" s="367"/>
      <c r="P25" s="367">
        <f>IF($A25="NEWCOD",IF($AC25="","No",$AC25),IF(ISTEXT($E25),"DEJA SAISI !",IF($A25="","",IF(ISERROR(VLOOKUP($A25,'liste reference'!A:S,19,FALSE)),IF(ISERROR(VLOOKUP($A25,'liste reference'!B:S,19,FALSE)),"",VLOOKUP($A25,'liste reference'!B:S,19,FALSE)),VLOOKUP($A25,'liste reference'!A:S,19,FALSE)))))</f>
        <v>8714</v>
      </c>
      <c r="Q25" s="222">
        <f t="shared" si="2"/>
        <v>3.7</v>
      </c>
      <c r="R25" s="223">
        <f t="shared" si="3"/>
        <v>3</v>
      </c>
      <c r="S25" s="223">
        <f t="shared" si="4"/>
        <v>30</v>
      </c>
      <c r="T25" s="223">
        <f t="shared" si="5"/>
        <v>30</v>
      </c>
      <c r="U25" s="225">
        <f t="shared" si="6"/>
        <v>3</v>
      </c>
      <c r="V25" s="287">
        <f t="shared" si="7"/>
      </c>
      <c r="W25" s="289" t="s">
        <v>1130</v>
      </c>
      <c r="Y25" s="324" t="str">
        <f>IF(A25="new.cod","NEWCOD",IF(AND((Z25=""),ISTEXT(A25)),A25,IF(Z25="","",INDEX('liste reference'!$A$8:$A$904,Z25))))</f>
        <v>MELSPX</v>
      </c>
      <c r="Z25" s="183">
        <f>IF(ISERROR(MATCH(A25,'liste reference'!$A$8:$A$904,0)),IF(ISERROR(MATCH(A25,'liste reference'!$B$8:$B$904,0)),"",(MATCH(A25,'liste reference'!$B$8:$B$904,0))),(MATCH(A25,'liste reference'!$A$8:$A$904,0)))</f>
        <v>36</v>
      </c>
      <c r="AA25" s="385"/>
      <c r="AB25" s="372"/>
      <c r="AC25" s="372"/>
      <c r="BB25" s="183">
        <f t="shared" si="8"/>
        <v>1</v>
      </c>
    </row>
    <row r="26" spans="1:54" ht="12.75">
      <c r="A26" s="322" t="s">
        <v>939</v>
      </c>
      <c r="B26" s="241">
        <v>3</v>
      </c>
      <c r="C26" s="242">
        <v>0.5</v>
      </c>
      <c r="D26" s="221" t="str">
        <f>IF(ISERROR(VLOOKUP($A26,'liste reference'!$A$7:$D$904,2,0)),IF(ISERROR(VLOOKUP($A26,'liste reference'!$B$7:$D$904,1,0)),"",VLOOKUP($A26,'liste reference'!$B$7:$D$904,1,0)),VLOOKUP($A26,'liste reference'!$A$7:$D$904,2,0))</f>
        <v>Oedogonium sp.</v>
      </c>
      <c r="E26" s="224" t="e">
        <f>IF(D26="",,VLOOKUP(D26,D$22:D25,1,0))</f>
        <v>#N/A</v>
      </c>
      <c r="F26" s="38">
        <f t="shared" si="1"/>
        <v>1.85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Oedogonium sp.</v>
      </c>
      <c r="L26" s="333"/>
      <c r="M26" s="333"/>
      <c r="N26" s="333"/>
      <c r="O26" s="367"/>
      <c r="P26" s="367">
        <f>IF($A26="NEWCOD",IF($AC26="","No",$AC26),IF(ISTEXT($E26),"DEJA SAISI !",IF($A26="","",IF(ISERROR(VLOOKUP($A26,'liste reference'!A:S,19,FALSE)),IF(ISERROR(VLOOKUP($A26,'liste reference'!B:S,19,FALSE)),"",VLOOKUP($A26,'liste reference'!B:S,19,FALSE)),VLOOKUP($A26,'liste reference'!A:S,19,FALSE)))))</f>
        <v>1134</v>
      </c>
      <c r="Q26" s="222">
        <f t="shared" si="2"/>
        <v>1.85</v>
      </c>
      <c r="R26" s="223">
        <f t="shared" si="3"/>
        <v>3</v>
      </c>
      <c r="S26" s="223">
        <f t="shared" si="4"/>
        <v>18</v>
      </c>
      <c r="T26" s="223">
        <f t="shared" si="5"/>
        <v>36</v>
      </c>
      <c r="U26" s="225">
        <f t="shared" si="6"/>
        <v>6</v>
      </c>
      <c r="V26" s="287">
        <f t="shared" si="7"/>
      </c>
      <c r="W26" s="289" t="s">
        <v>1130</v>
      </c>
      <c r="Y26" s="324" t="str">
        <f>IF(A26="new.cod","NEWCOD",IF(AND((Z26=""),ISTEXT(A26)),A26,IF(Z26="","",INDEX('liste reference'!$A$8:$A$904,Z26))))</f>
        <v>OEDSPX</v>
      </c>
      <c r="Z26" s="183">
        <f>IF(ISERROR(MATCH(A26,'liste reference'!$A$8:$A$904,0)),IF(ISERROR(MATCH(A26,'liste reference'!$B$8:$B$904,0)),"",(MATCH(A26,'liste reference'!$B$8:$B$904,0))),(MATCH(A26,'liste reference'!$A$8:$A$904,0)))</f>
        <v>55</v>
      </c>
      <c r="AA26" s="385"/>
      <c r="AB26" s="372"/>
      <c r="AC26" s="372"/>
      <c r="BB26" s="183">
        <f t="shared" si="8"/>
        <v>1</v>
      </c>
    </row>
    <row r="27" spans="1:54" ht="12.75">
      <c r="A27" s="322" t="s">
        <v>953</v>
      </c>
      <c r="B27" s="241">
        <v>0.4</v>
      </c>
      <c r="C27" s="242">
        <v>0.01</v>
      </c>
      <c r="D27" s="221" t="str">
        <f>IF(ISERROR(VLOOKUP($A27,'liste reference'!$A$7:$D$904,2,0)),IF(ISERROR(VLOOKUP($A27,'liste reference'!$B$7:$D$904,1,0)),"",VLOOKUP($A27,'liste reference'!$B$7:$D$904,1,0)),VLOOKUP($A27,'liste reference'!$A$7:$D$904,2,0))</f>
        <v>Spirogyra sp.</v>
      </c>
      <c r="E27" s="224" t="e">
        <f>IF(D27="",,VLOOKUP(D27,D$22:D26,1,0))</f>
        <v>#N/A</v>
      </c>
      <c r="F27" s="38">
        <f t="shared" si="1"/>
        <v>0.22060000000000002</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0.22060000000000002</v>
      </c>
      <c r="R27" s="223">
        <f t="shared" si="3"/>
        <v>2</v>
      </c>
      <c r="S27" s="223">
        <f t="shared" si="4"/>
        <v>20</v>
      </c>
      <c r="T27" s="223">
        <f t="shared" si="5"/>
        <v>20</v>
      </c>
      <c r="U27" s="225">
        <f t="shared" si="6"/>
        <v>2</v>
      </c>
      <c r="V27" s="287">
        <f t="shared" si="7"/>
      </c>
      <c r="W27" s="289" t="s">
        <v>1130</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966</v>
      </c>
      <c r="B28" s="241">
        <v>0.005</v>
      </c>
      <c r="C28" s="242"/>
      <c r="D28" s="221" t="str">
        <f>IF(ISERROR(VLOOKUP($A28,'liste reference'!$A$7:$D$904,2,0)),IF(ISERROR(VLOOKUP($A28,'liste reference'!$B$7:$D$904,1,0)),"",VLOOKUP($A28,'liste reference'!$B$7:$D$904,1,0)),VLOOKUP($A28,'liste reference'!$A$7:$D$904,2,0))</f>
        <v>Vaucheria sp.</v>
      </c>
      <c r="E28" s="224" t="e">
        <f>IF(D28="",,VLOOKUP(D28,D$22:D27,1,0))</f>
        <v>#N/A</v>
      </c>
      <c r="F28" s="38">
        <f t="shared" si="1"/>
        <v>0.0027</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Vaucheria sp.</v>
      </c>
      <c r="L28" s="333"/>
      <c r="M28" s="333"/>
      <c r="N28" s="333"/>
      <c r="O28" s="367"/>
      <c r="P28" s="367">
        <f>IF($A28="NEWCOD",IF($AC28="","No",$AC28),IF(ISTEXT($E28),"DEJA SAISI !",IF($A28="","",IF(ISERROR(VLOOKUP($A28,'liste reference'!A:S,19,FALSE)),IF(ISERROR(VLOOKUP($A28,'liste reference'!B:S,19,FALSE)),"",VLOOKUP($A28,'liste reference'!B:S,19,FALSE)),VLOOKUP($A28,'liste reference'!A:S,19,FALSE)))))</f>
        <v>6193</v>
      </c>
      <c r="Q28" s="222">
        <f t="shared" si="2"/>
        <v>0.0027</v>
      </c>
      <c r="R28" s="223">
        <f t="shared" si="3"/>
        <v>1</v>
      </c>
      <c r="S28" s="223">
        <f t="shared" si="4"/>
        <v>4</v>
      </c>
      <c r="T28" s="223">
        <f t="shared" si="5"/>
        <v>4</v>
      </c>
      <c r="U28" s="225">
        <f t="shared" si="6"/>
        <v>1</v>
      </c>
      <c r="V28" s="287">
        <f t="shared" si="7"/>
      </c>
      <c r="W28" s="289" t="s">
        <v>1130</v>
      </c>
      <c r="Y28" s="324" t="str">
        <f>IF(A28="new.cod","NEWCOD",IF(AND((Z28=""),ISTEXT(A28)),A28,IF(Z28="","",INDEX('liste reference'!$A$8:$A$904,Z28))))</f>
        <v>VAUSPX</v>
      </c>
      <c r="Z28" s="183">
        <f>IF(ISERROR(MATCH(A28,'liste reference'!$A$8:$A$904,0)),IF(ISERROR(MATCH(A28,'liste reference'!$B$8:$B$904,0)),"",(MATCH(A28,'liste reference'!$B$8:$B$904,0))),(MATCH(A28,'liste reference'!$A$8:$A$904,0)))</f>
        <v>82</v>
      </c>
      <c r="AA28" s="385"/>
      <c r="AB28" s="372"/>
      <c r="AC28" s="372"/>
      <c r="BB28" s="183">
        <f t="shared" si="8"/>
        <v>1</v>
      </c>
    </row>
    <row r="29" spans="1:54" ht="12.75">
      <c r="A29" s="322" t="s">
        <v>713</v>
      </c>
      <c r="B29" s="241">
        <v>0.005</v>
      </c>
      <c r="C29" s="242"/>
      <c r="D29" s="221" t="str">
        <f>IF(ISERROR(VLOOKUP($A29,'liste reference'!$A$7:$D$904,2,0)),IF(ISERROR(VLOOKUP($A29,'liste reference'!$B$7:$D$904,1,0)),"",VLOOKUP($A29,'liste reference'!$B$7:$D$904,1,0)),VLOOKUP($A29,'liste reference'!$A$7:$D$904,2,0))</f>
        <v>Amblystegium riparium</v>
      </c>
      <c r="E29" s="224" t="e">
        <f>IF(D29="",,VLOOKUP(D29,D$22:D28,1,0))</f>
        <v>#N/A</v>
      </c>
      <c r="F29" s="38">
        <f t="shared" si="1"/>
        <v>0.0027</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5</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Amblystegium riparium</v>
      </c>
      <c r="L29" s="333"/>
      <c r="M29" s="333"/>
      <c r="N29" s="333"/>
      <c r="O29" s="367"/>
      <c r="P29" s="367">
        <f>IF($A29="NEWCOD",IF($AC29="","No",$AC29),IF(ISTEXT($E29),"DEJA SAISI !",IF($A29="","",IF(ISERROR(VLOOKUP($A29,'liste reference'!A:S,19,FALSE)),IF(ISERROR(VLOOKUP($A29,'liste reference'!B:S,19,FALSE)),"",VLOOKUP($A29,'liste reference'!B:S,19,FALSE)),VLOOKUP($A29,'liste reference'!A:S,19,FALSE)))))</f>
        <v>1219</v>
      </c>
      <c r="Q29" s="222">
        <f t="shared" si="2"/>
        <v>0.0027</v>
      </c>
      <c r="R29" s="223">
        <f t="shared" si="3"/>
        <v>1</v>
      </c>
      <c r="S29" s="223">
        <f t="shared" si="4"/>
        <v>5</v>
      </c>
      <c r="T29" s="223">
        <f t="shared" si="5"/>
        <v>10</v>
      </c>
      <c r="U29" s="225">
        <f t="shared" si="6"/>
        <v>2</v>
      </c>
      <c r="V29" s="287">
        <f t="shared" si="7"/>
      </c>
      <c r="W29" s="289" t="s">
        <v>1130</v>
      </c>
      <c r="Y29" s="324" t="str">
        <f>IF(A29="new.cod","NEWCOD",IF(AND((Z29=""),ISTEXT(A29)),A29,IF(Z29="","",INDEX('liste reference'!$A$8:$A$904,Z29))))</f>
        <v>AMBRIP</v>
      </c>
      <c r="Z29" s="183">
        <f>IF(ISERROR(MATCH(A29,'liste reference'!$A$8:$A$904,0)),IF(ISERROR(MATCH(A29,'liste reference'!$B$8:$B$904,0)),"",(MATCH(A29,'liste reference'!$B$8:$B$904,0))),(MATCH(A29,'liste reference'!$A$8:$A$904,0)))</f>
        <v>148</v>
      </c>
      <c r="AA29" s="385"/>
      <c r="AB29" s="372"/>
      <c r="AC29" s="372"/>
      <c r="BB29" s="183">
        <f t="shared" si="8"/>
        <v>1</v>
      </c>
    </row>
    <row r="30" spans="1:54" ht="12.75">
      <c r="A30" s="322" t="s">
        <v>691</v>
      </c>
      <c r="B30" s="241">
        <v>0.01</v>
      </c>
      <c r="C30" s="242"/>
      <c r="D30" s="221" t="str">
        <f>IF(ISERROR(VLOOKUP($A30,'liste reference'!$A$7:$D$904,2,0)),IF(ISERROR(VLOOKUP($A30,'liste reference'!$B$7:$D$904,1,0)),"",VLOOKUP($A30,'liste reference'!$B$7:$D$904,1,0)),VLOOKUP($A30,'liste reference'!$A$7:$D$904,2,0))</f>
        <v>Equisetum arvense</v>
      </c>
      <c r="E30" s="224" t="e">
        <f>IF(D30="",,VLOOKUP(D30,D$22:D29,1,0))</f>
        <v>#N/A</v>
      </c>
      <c r="F30" s="38">
        <f t="shared" si="1"/>
        <v>0.0054</v>
      </c>
      <c r="G30" s="507" t="str">
        <f>IF(A30="","",IF(ISERROR(VLOOKUP($A30,'liste reference'!$A$7:$P$904,13,0)),IF(ISERROR(VLOOKUP($A30,'liste reference'!$B$7:$P$904,12,0)),"    -",VLOOKUP($A30,'liste reference'!$B$7:$P$904,12,0)),VLOOKUP($A30,'liste reference'!$A$7:$P$904,13,0)))</f>
        <v>PTE</v>
      </c>
      <c r="H30" s="508">
        <f>IF(A30="","x",IF(ISERROR(VLOOKUP($A30,'liste reference'!$A$8:$P$904,14,0)),IF(ISERROR(VLOOKUP($A30,'liste reference'!$B$8:$P$904,13,0)),"x",VLOOKUP($A30,'liste reference'!$B$8:$P$904,13,0)),VLOOKUP($A30,'liste reference'!$A$8:$P$904,14,0)))</f>
        <v>6</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Equisetum arvense</v>
      </c>
      <c r="L30" s="333"/>
      <c r="M30" s="333"/>
      <c r="N30" s="333"/>
      <c r="O30" s="367"/>
      <c r="P30" s="367">
        <f>IF($A30="NEWCOD",IF($AC30="","No",$AC30),IF(ISTEXT($E30),"DEJA SAISI !",IF($A30="","",IF(ISERROR(VLOOKUP($A30,'liste reference'!A:S,19,FALSE)),IF(ISERROR(VLOOKUP($A30,'liste reference'!B:S,19,FALSE)),"",VLOOKUP($A30,'liste reference'!B:S,19,FALSE)),VLOOKUP($A30,'liste reference'!A:S,19,FALSE)))))</f>
        <v>1384</v>
      </c>
      <c r="Q30" s="222">
        <f t="shared" si="2"/>
        <v>0.0054</v>
      </c>
      <c r="R30" s="223">
        <f t="shared" si="3"/>
        <v>1</v>
      </c>
      <c r="S30" s="223">
        <f t="shared" si="4"/>
        <v>0</v>
      </c>
      <c r="T30" s="223">
        <f t="shared" si="5"/>
        <v>0</v>
      </c>
      <c r="U30" s="225">
        <f t="shared" si="6"/>
        <v>0</v>
      </c>
      <c r="V30" s="287">
        <f t="shared" si="7"/>
      </c>
      <c r="W30" s="289" t="s">
        <v>1130</v>
      </c>
      <c r="Y30" s="324" t="str">
        <f>IF(A30="new.cod","NEWCOD",IF(AND((Z30=""),ISTEXT(A30)),A30,IF(Z30="","",INDEX('liste reference'!$A$8:$A$904,Z30))))</f>
        <v>EQUARV</v>
      </c>
      <c r="Z30" s="183">
        <f>IF(ISERROR(MATCH(A30,'liste reference'!$A$8:$A$904,0)),IF(ISERROR(MATCH(A30,'liste reference'!$B$8:$B$904,0)),"",(MATCH(A30,'liste reference'!$B$8:$B$904,0))),(MATCH(A30,'liste reference'!$A$8:$A$904,0)))</f>
        <v>278</v>
      </c>
      <c r="AA30" s="385"/>
      <c r="AB30" s="372"/>
      <c r="AC30" s="372"/>
      <c r="BB30" s="183">
        <f t="shared" si="8"/>
        <v>1</v>
      </c>
    </row>
    <row r="31" spans="1:54" ht="12.75">
      <c r="A31" s="322" t="s">
        <v>524</v>
      </c>
      <c r="B31" s="241">
        <v>0.005</v>
      </c>
      <c r="C31" s="242"/>
      <c r="D31" s="221" t="str">
        <f>IF(ISERROR(VLOOKUP($A31,'liste reference'!$A$7:$D$904,2,0)),IF(ISERROR(VLOOKUP($A31,'liste reference'!$B$7:$D$904,1,0)),"",VLOOKUP($A31,'liste reference'!$B$7:$D$904,1,0)),VLOOKUP($A31,'liste reference'!$A$7:$D$904,2,0))</f>
        <v>Apium nodiflorum</v>
      </c>
      <c r="E31" s="224" t="e">
        <f>IF(D31="",,VLOOKUP(D31,D$22:D30,1,0))</f>
        <v>#N/A</v>
      </c>
      <c r="F31" s="38">
        <f t="shared" si="1"/>
        <v>0.0027</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v>10</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Apium nodiflorum</v>
      </c>
      <c r="L31" s="333"/>
      <c r="M31" s="333"/>
      <c r="N31" s="333"/>
      <c r="O31" s="367"/>
      <c r="P31" s="367">
        <f>IF($A31="NEWCOD",IF($AC31="","No",$AC31),IF(ISTEXT($E31),"DEJA SAISI !",IF($A31="","",IF(ISERROR(VLOOKUP($A31,'liste reference'!A:S,19,FALSE)),IF(ISERROR(VLOOKUP($A31,'liste reference'!B:S,19,FALSE)),"",VLOOKUP($A31,'liste reference'!B:S,19,FALSE)),VLOOKUP($A31,'liste reference'!A:S,19,FALSE)))))</f>
        <v>1974</v>
      </c>
      <c r="Q31" s="222">
        <f t="shared" si="2"/>
        <v>0.0027</v>
      </c>
      <c r="R31" s="223">
        <f t="shared" si="3"/>
        <v>1</v>
      </c>
      <c r="S31" s="223">
        <f t="shared" si="4"/>
        <v>10</v>
      </c>
      <c r="T31" s="223">
        <f t="shared" si="5"/>
        <v>10</v>
      </c>
      <c r="U31" s="225">
        <f t="shared" si="6"/>
        <v>1</v>
      </c>
      <c r="V31" s="287">
        <f t="shared" si="7"/>
      </c>
      <c r="W31" s="290" t="s">
        <v>1130</v>
      </c>
      <c r="Y31" s="324" t="str">
        <f>IF(A31="new.cod","NEWCOD",IF(AND((Z31=""),ISTEXT(A31)),A31,IF(Z31="","",INDEX('liste reference'!$A$8:$A$904,Z31))))</f>
        <v>APINOD</v>
      </c>
      <c r="Z31" s="183">
        <f>IF(ISERROR(MATCH(A31,'liste reference'!$A$8:$A$904,0)),IF(ISERROR(MATCH(A31,'liste reference'!$B$8:$B$904,0)),"",(MATCH(A31,'liste reference'!$B$8:$B$904,0))),(MATCH(A31,'liste reference'!$A$8:$A$904,0)))</f>
        <v>309</v>
      </c>
      <c r="AA31" s="385"/>
      <c r="AB31" s="372"/>
      <c r="AC31" s="372"/>
      <c r="BB31" s="183">
        <f t="shared" si="8"/>
        <v>1</v>
      </c>
    </row>
    <row r="32" spans="1:54" ht="12.75">
      <c r="A32" s="322" t="s">
        <v>366</v>
      </c>
      <c r="B32" s="241"/>
      <c r="C32" s="242">
        <v>0.01</v>
      </c>
      <c r="D32" s="221" t="str">
        <f>IF(ISERROR(VLOOKUP($A32,'liste reference'!$A$7:$D$904,2,0)),IF(ISERROR(VLOOKUP($A32,'liste reference'!$B$7:$D$904,1,0)),"",VLOOKUP($A32,'liste reference'!$B$7:$D$904,1,0)),VLOOKUP($A32,'liste reference'!$A$7:$D$904,2,0))</f>
        <v>Agrostis stolonifera</v>
      </c>
      <c r="E32" s="224" t="e">
        <f>IF(D32="",,VLOOKUP(D32,D$22:D31,1,0))</f>
        <v>#N/A</v>
      </c>
      <c r="F32" s="38">
        <f t="shared" si="1"/>
        <v>0.0046</v>
      </c>
      <c r="G32" s="507" t="str">
        <f>IF(A32="","",IF(ISERROR(VLOOKUP($A32,'liste reference'!$A$7:$P$904,13,0)),IF(ISERROR(VLOOKUP($A32,'liste reference'!$B$7:$P$904,12,0)),"    -",VLOOKUP($A32,'liste reference'!$B$7:$P$904,12,0)),VLOOKUP($A32,'liste reference'!$A$7:$P$904,13,0)))</f>
        <v>PHe</v>
      </c>
      <c r="H32" s="508">
        <f>IF(A32="","x",IF(ISERROR(VLOOKUP($A32,'liste reference'!$A$8:$P$904,14,0)),IF(ISERROR(VLOOKUP($A32,'liste reference'!$B$8:$P$904,13,0)),"x",VLOOKUP($A32,'liste reference'!$B$8:$P$904,13,0)),VLOOKUP($A32,'liste reference'!$A$8:$P$904,14,0)))</f>
        <v>8</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Agrostis stolonifera</v>
      </c>
      <c r="L32" s="333"/>
      <c r="M32" s="333"/>
      <c r="N32" s="333"/>
      <c r="O32" s="367"/>
      <c r="P32" s="367">
        <f>IF($A32="NEWCOD",IF($AC32="","No",$AC32),IF(ISTEXT($E32),"DEJA SAISI !",IF($A32="","",IF(ISERROR(VLOOKUP($A32,'liste reference'!A:S,19,FALSE)),IF(ISERROR(VLOOKUP($A32,'liste reference'!B:S,19,FALSE)),"",VLOOKUP($A32,'liste reference'!B:S,19,FALSE)),VLOOKUP($A32,'liste reference'!A:S,19,FALSE)))))</f>
        <v>1543</v>
      </c>
      <c r="Q32" s="222">
        <f t="shared" si="2"/>
        <v>0.0046</v>
      </c>
      <c r="R32" s="223">
        <f t="shared" si="3"/>
        <v>1</v>
      </c>
      <c r="S32" s="223">
        <f t="shared" si="4"/>
        <v>10</v>
      </c>
      <c r="T32" s="223">
        <f t="shared" si="5"/>
        <v>10</v>
      </c>
      <c r="U32" s="225">
        <f t="shared" si="6"/>
        <v>1</v>
      </c>
      <c r="V32" s="287">
        <f t="shared" si="7"/>
      </c>
      <c r="W32" s="289" t="s">
        <v>1130</v>
      </c>
      <c r="Y32" s="324" t="str">
        <f>IF(A32="new.cod","NEWCOD",IF(AND((Z32=""),ISTEXT(A32)),A32,IF(Z32="","",INDEX('liste reference'!$A$8:$A$904,Z32))))</f>
        <v>AGRSTO</v>
      </c>
      <c r="Z32" s="183">
        <f>IF(ISERROR(MATCH(A32,'liste reference'!$A$8:$A$904,0)),IF(ISERROR(MATCH(A32,'liste reference'!$B$8:$B$904,0)),"",(MATCH(A32,'liste reference'!$B$8:$B$904,0))),(MATCH(A32,'liste reference'!$A$8:$A$904,0)))</f>
        <v>514</v>
      </c>
      <c r="AA32" s="385"/>
      <c r="AB32" s="372"/>
      <c r="AC32" s="372"/>
      <c r="BB32" s="183">
        <f t="shared" si="8"/>
        <v>1</v>
      </c>
    </row>
    <row r="33" spans="1:54" ht="12.75">
      <c r="A33" s="322" t="s">
        <v>450</v>
      </c>
      <c r="B33" s="241">
        <v>0.005</v>
      </c>
      <c r="C33" s="242"/>
      <c r="D33" s="221" t="str">
        <f>IF(ISERROR(VLOOKUP($A33,'liste reference'!$A$7:$D$904,2,0)),IF(ISERROR(VLOOKUP($A33,'liste reference'!$B$7:$D$904,1,0)),"",VLOOKUP($A33,'liste reference'!$B$7:$D$904,1,0)),VLOOKUP($A33,'liste reference'!$A$7:$D$904,2,0))</f>
        <v>Lysimachia vulgaris</v>
      </c>
      <c r="E33" s="224" t="e">
        <f>IF(D33="",,VLOOKUP(D33,D$22:D32,1,0))</f>
        <v>#N/A</v>
      </c>
      <c r="F33" s="38">
        <f t="shared" si="1"/>
        <v>0.0027</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Lysimachia vulgaris</v>
      </c>
      <c r="L33" s="333"/>
      <c r="M33" s="333"/>
      <c r="N33" s="333"/>
      <c r="O33" s="367"/>
      <c r="P33" s="367">
        <f>IF($A33="NEWCOD",IF($AC33="","No",$AC33),IF(ISTEXT($E33),"DEJA SAISI !",IF($A33="","",IF(ISERROR(VLOOKUP($A33,'liste reference'!A:S,19,FALSE)),IF(ISERROR(VLOOKUP($A33,'liste reference'!B:S,19,FALSE)),"",VLOOKUP($A33,'liste reference'!B:S,19,FALSE)),VLOOKUP($A33,'liste reference'!A:S,19,FALSE)))))</f>
        <v>1887</v>
      </c>
      <c r="Q33" s="222">
        <f t="shared" si="2"/>
        <v>0.0027</v>
      </c>
      <c r="R33" s="223">
        <f t="shared" si="3"/>
        <v>1</v>
      </c>
      <c r="S33" s="223">
        <f t="shared" si="4"/>
        <v>0</v>
      </c>
      <c r="T33" s="223">
        <f t="shared" si="5"/>
        <v>0</v>
      </c>
      <c r="U33" s="225">
        <f t="shared" si="6"/>
        <v>0</v>
      </c>
      <c r="V33" s="287">
        <f t="shared" si="7"/>
      </c>
      <c r="W33" s="289" t="s">
        <v>1130</v>
      </c>
      <c r="Y33" s="324" t="str">
        <f>IF(A33="new.cod","NEWCOD",IF(AND((Z33=""),ISTEXT(A33)),A33,IF(Z33="","",INDEX('liste reference'!$A$8:$A$904,Z33))))</f>
        <v>LYSVUL</v>
      </c>
      <c r="Z33" s="183">
        <f>IF(ISERROR(MATCH(A33,'liste reference'!$A$8:$A$904,0)),IF(ISERROR(MATCH(A33,'liste reference'!$B$8:$B$904,0)),"",(MATCH(A33,'liste reference'!$B$8:$B$904,0))),(MATCH(A33,'liste reference'!$A$8:$A$904,0)))</f>
        <v>601</v>
      </c>
      <c r="AA33" s="385"/>
      <c r="AB33" s="372"/>
      <c r="AC33" s="372"/>
      <c r="BB33" s="183">
        <f t="shared" si="8"/>
        <v>1</v>
      </c>
    </row>
    <row r="34" spans="1:54" ht="12.75">
      <c r="A34" s="322" t="s">
        <v>453</v>
      </c>
      <c r="B34" s="241">
        <v>0.005</v>
      </c>
      <c r="C34" s="242"/>
      <c r="D34" s="221" t="str">
        <f>IF(ISERROR(VLOOKUP($A34,'liste reference'!$A$7:$D$904,2,0)),IF(ISERROR(VLOOKUP($A34,'liste reference'!$B$7:$D$904,1,0)),"",VLOOKUP($A34,'liste reference'!$B$7:$D$904,1,0)),VLOOKUP($A34,'liste reference'!$A$7:$D$904,2,0))</f>
        <v>Lythrum salicaria</v>
      </c>
      <c r="E34" s="224" t="e">
        <f>IF(D34="",,VLOOKUP(D34,D$22:D33,1,0))</f>
        <v>#N/A</v>
      </c>
      <c r="F34" s="39">
        <f t="shared" si="1"/>
        <v>0.0027</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Lythrum salicaria</v>
      </c>
      <c r="L34" s="333"/>
      <c r="M34" s="333"/>
      <c r="N34" s="333"/>
      <c r="O34" s="367"/>
      <c r="P34" s="367">
        <f>IF($A34="NEWCOD",IF($AC34="","No",$AC34),IF(ISTEXT($E34),"DEJA SAISI !",IF($A34="","",IF(ISERROR(VLOOKUP($A34,'liste reference'!A:S,19,FALSE)),IF(ISERROR(VLOOKUP($A34,'liste reference'!B:S,19,FALSE)),"",VLOOKUP($A34,'liste reference'!B:S,19,FALSE)),VLOOKUP($A34,'liste reference'!A:S,19,FALSE)))))</f>
        <v>1823</v>
      </c>
      <c r="Q34" s="222">
        <f t="shared" si="2"/>
        <v>0.0027</v>
      </c>
      <c r="R34" s="223">
        <f t="shared" si="3"/>
        <v>1</v>
      </c>
      <c r="S34" s="223">
        <f t="shared" si="4"/>
        <v>0</v>
      </c>
      <c r="T34" s="223">
        <f t="shared" si="5"/>
        <v>0</v>
      </c>
      <c r="U34" s="225">
        <f t="shared" si="6"/>
        <v>0</v>
      </c>
      <c r="V34" s="287">
        <f t="shared" si="7"/>
      </c>
      <c r="W34" s="289" t="s">
        <v>1130</v>
      </c>
      <c r="Y34" s="324" t="str">
        <f>IF(A34="new.cod","NEWCOD",IF(AND((Z34=""),ISTEXT(A34)),A34,IF(Z34="","",INDEX('liste reference'!$A$8:$A$904,Z34))))</f>
        <v>LYTSAL</v>
      </c>
      <c r="Z34" s="183">
        <f>IF(ISERROR(MATCH(A34,'liste reference'!$A$8:$A$904,0)),IF(ISERROR(MATCH(A34,'liste reference'!$B$8:$B$904,0)),"",(MATCH(A34,'liste reference'!$B$8:$B$904,0))),(MATCH(A34,'liste reference'!$A$8:$A$904,0)))</f>
        <v>605</v>
      </c>
      <c r="AA34" s="385"/>
      <c r="AB34" s="372"/>
      <c r="AC34" s="372"/>
      <c r="BB34" s="183">
        <f t="shared" si="8"/>
        <v>1</v>
      </c>
    </row>
    <row r="35" spans="1:54" ht="12.75">
      <c r="A35" s="322" t="s">
        <v>470</v>
      </c>
      <c r="B35" s="241"/>
      <c r="C35" s="242">
        <v>0.005</v>
      </c>
      <c r="D35" s="221" t="str">
        <f>IF(ISERROR(VLOOKUP($A35,'liste reference'!$A$7:$D$904,2,0)),IF(ISERROR(VLOOKUP($A35,'liste reference'!$B$7:$D$904,1,0)),"",VLOOKUP($A35,'liste reference'!$B$7:$D$904,1,0)),VLOOKUP($A35,'liste reference'!$A$7:$D$904,2,0))</f>
        <v>Nasturtium officinale</v>
      </c>
      <c r="E35" s="224" t="e">
        <f>IF(D35="",,VLOOKUP(D35,D$22:D34,1,0))</f>
        <v>#N/A</v>
      </c>
      <c r="F35" s="39">
        <f t="shared" si="1"/>
        <v>0.0023</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11</v>
      </c>
      <c r="J35" s="509">
        <f>IF(ISNUMBER(H35),IF(ISERROR(VLOOKUP($A35,'liste reference'!$A$7:$P$904,4,0)),IF(ISERROR(VLOOKUP($A35,'liste reference'!$B$7:$P$904,3,0)),"",VLOOKUP($A35,'liste reference'!$B$7:$P$904,3,0)),VLOOKUP($A35,'liste reference'!$A$7:$P$904,4,0)),"")</f>
        <v>1</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Nasturtium officinale</v>
      </c>
      <c r="L35" s="333"/>
      <c r="M35" s="333"/>
      <c r="N35" s="333"/>
      <c r="O35" s="367"/>
      <c r="P35" s="367">
        <f>IF($A35="NEWCOD",IF($AC35="","No",$AC35),IF(ISTEXT($E35),"DEJA SAISI !",IF($A35="","",IF(ISERROR(VLOOKUP($A35,'liste reference'!A:S,19,FALSE)),IF(ISERROR(VLOOKUP($A35,'liste reference'!B:S,19,FALSE)),"",VLOOKUP($A35,'liste reference'!B:S,19,FALSE)),VLOOKUP($A35,'liste reference'!A:S,19,FALSE)))))</f>
        <v>1763</v>
      </c>
      <c r="Q35" s="222">
        <f t="shared" si="2"/>
        <v>0.0023</v>
      </c>
      <c r="R35" s="223">
        <f t="shared" si="3"/>
        <v>1</v>
      </c>
      <c r="S35" s="223">
        <f t="shared" si="4"/>
        <v>11</v>
      </c>
      <c r="T35" s="223">
        <f t="shared" si="5"/>
        <v>11</v>
      </c>
      <c r="U35" s="225">
        <f t="shared" si="6"/>
        <v>1</v>
      </c>
      <c r="V35" s="287">
        <f t="shared" si="7"/>
      </c>
      <c r="W35" s="289" t="s">
        <v>1130</v>
      </c>
      <c r="Y35" s="324" t="str">
        <f>IF(A35="new.cod","NEWCOD",IF(AND((Z35=""),ISTEXT(A35)),A35,IF(Z35="","",INDEX('liste reference'!$A$8:$A$904,Z35))))</f>
        <v>NASOFF</v>
      </c>
      <c r="Z35" s="183">
        <f>IF(ISERROR(MATCH(A35,'liste reference'!$A$8:$A$904,0)),IF(ISERROR(MATCH(A35,'liste reference'!$B$8:$B$904,0)),"",(MATCH(A35,'liste reference'!$B$8:$B$904,0))),(MATCH(A35,'liste reference'!$A$8:$A$904,0)))</f>
        <v>628</v>
      </c>
      <c r="AA35" s="385"/>
      <c r="AB35" s="372"/>
      <c r="AC35" s="372"/>
      <c r="BB35" s="183">
        <f t="shared" si="8"/>
        <v>1</v>
      </c>
    </row>
    <row r="36" spans="1:54" ht="12.75">
      <c r="A36" s="322" t="s">
        <v>476</v>
      </c>
      <c r="B36" s="241"/>
      <c r="C36" s="242">
        <v>0.01</v>
      </c>
      <c r="D36" s="221" t="str">
        <f>IF(ISERROR(VLOOKUP($A36,'liste reference'!$A$7:$D$904,2,0)),IF(ISERROR(VLOOKUP($A36,'liste reference'!$B$7:$D$904,1,0)),"",VLOOKUP($A36,'liste reference'!$B$7:$D$904,1,0)),VLOOKUP($A36,'liste reference'!$A$7:$D$904,2,0))</f>
        <v>Phalaris arundinacea</v>
      </c>
      <c r="E36" s="224" t="e">
        <f>IF(D36="",,VLOOKUP(D36,D$22:D35,1,0))</f>
        <v>#N/A</v>
      </c>
      <c r="F36" s="39">
        <f t="shared" si="1"/>
        <v>0.0046</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v>10</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Phalaris arundinacea</v>
      </c>
      <c r="L36" s="333"/>
      <c r="M36" s="333"/>
      <c r="N36" s="333"/>
      <c r="O36" s="367"/>
      <c r="P36" s="367">
        <f>IF($A36="NEWCOD",IF($AC36="","No",$AC36),IF(ISTEXT($E36),"DEJA SAISI !",IF($A36="","",IF(ISERROR(VLOOKUP($A36,'liste reference'!A:S,19,FALSE)),IF(ISERROR(VLOOKUP($A36,'liste reference'!B:S,19,FALSE)),"",VLOOKUP($A36,'liste reference'!B:S,19,FALSE)),VLOOKUP($A36,'liste reference'!A:S,19,FALSE)))))</f>
        <v>1577</v>
      </c>
      <c r="Q36" s="222">
        <f t="shared" si="2"/>
        <v>0.0046</v>
      </c>
      <c r="R36" s="223">
        <f t="shared" si="3"/>
        <v>1</v>
      </c>
      <c r="S36" s="223">
        <f t="shared" si="4"/>
        <v>10</v>
      </c>
      <c r="T36" s="223">
        <f t="shared" si="5"/>
        <v>10</v>
      </c>
      <c r="U36" s="225">
        <f t="shared" si="6"/>
        <v>1</v>
      </c>
      <c r="V36" s="287">
        <f t="shared" si="7"/>
      </c>
      <c r="W36" s="289" t="s">
        <v>1130</v>
      </c>
      <c r="Y36" s="324" t="str">
        <f>IF(A36="new.cod","NEWCOD",IF(AND((Z36=""),ISTEXT(A36)),A36,IF(Z36="","",INDEX('liste reference'!$A$8:$A$904,Z36))))</f>
        <v>PHAARU</v>
      </c>
      <c r="Z36" s="183">
        <f>IF(ISERROR(MATCH(A36,'liste reference'!$A$8:$A$904,0)),IF(ISERROR(MATCH(A36,'liste reference'!$B$8:$B$904,0)),"",(MATCH(A36,'liste reference'!$B$8:$B$904,0))),(MATCH(A36,'liste reference'!$A$8:$A$904,0)))</f>
        <v>634</v>
      </c>
      <c r="AA36" s="385"/>
      <c r="AB36" s="372"/>
      <c r="AC36" s="372"/>
      <c r="BB36" s="183">
        <f t="shared" si="8"/>
        <v>1</v>
      </c>
    </row>
    <row r="37" spans="1:54" ht="12.75">
      <c r="A37" s="322" t="s">
        <v>2718</v>
      </c>
      <c r="B37" s="241">
        <v>0.01</v>
      </c>
      <c r="C37" s="242">
        <v>0.01</v>
      </c>
      <c r="D37" s="221">
        <f>IF(ISERROR(VLOOKUP($A37,'liste reference'!$A$7:$D$904,2,0)),IF(ISERROR(VLOOKUP($A37,'liste reference'!$B$7:$D$904,1,0)),"",VLOOKUP($A37,'liste reference'!$B$7:$D$904,1,0)),VLOOKUP($A37,'liste reference'!$A$7:$D$904,2,0))</f>
      </c>
      <c r="E37" s="224">
        <f>IF(D37="",,VLOOKUP(D37,D$22:D36,1,0))</f>
        <v>0</v>
      </c>
      <c r="F37" s="39">
        <f t="shared" si="1"/>
        <v>0.01</v>
      </c>
      <c r="G37" s="507" t="str">
        <f>IF(A37="","",IF(ISERROR(VLOOKUP($A37,'liste reference'!$A$7:$P$904,13,0)),IF(ISERROR(VLOOKUP($A37,'liste reference'!$B$7:$P$904,12,0)),"    -",VLOOKUP($A37,'liste reference'!$B$7:$P$904,12,0)),VLOOKUP($A37,'liste reference'!$A$7:$P$904,13,0)))</f>
        <v>    -</v>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Bidens frondosa</v>
      </c>
      <c r="L37" s="333"/>
      <c r="M37" s="333"/>
      <c r="N37" s="333"/>
      <c r="O37" s="367"/>
      <c r="P37" s="367" t="str">
        <f>IF($A37="NEWCOD",IF($AC37="","No",$AC37),IF(ISTEXT($E37),"DEJA SAISI !",IF($A37="","",IF(ISERROR(VLOOKUP($A37,'liste reference'!A:S,19,FALSE)),IF(ISERROR(VLOOKUP($A37,'liste reference'!B:S,19,FALSE)),"",VLOOKUP($A37,'liste reference'!B:S,19,FALSE)),VLOOKUP($A37,'liste reference'!A:S,19,FALSE)))))</f>
        <v>No</v>
      </c>
      <c r="Q37" s="222">
        <f t="shared" si="2"/>
      </c>
      <c r="R37" s="223">
        <f t="shared" si="3"/>
      </c>
      <c r="S37" s="223">
        <f t="shared" si="4"/>
        <v>0</v>
      </c>
      <c r="T37" s="223">
        <f t="shared" si="5"/>
        <v>0</v>
      </c>
      <c r="U37" s="225">
        <f t="shared" si="6"/>
        <v>0</v>
      </c>
      <c r="V37" s="287">
        <f t="shared" si="7"/>
      </c>
      <c r="W37" s="289" t="s">
        <v>1130</v>
      </c>
      <c r="X37" s="289"/>
      <c r="Y37" s="324" t="str">
        <f>IF(A37="new.cod","NEWCOD",IF(AND((Z37=""),ISTEXT(A37)),A37,IF(Z37="","",INDEX('liste reference'!$A$8:$A$904,Z37))))</f>
        <v>NEWCOD</v>
      </c>
      <c r="Z37" s="183">
        <f>IF(ISERROR(MATCH(A37,'liste reference'!$A$8:$A$904,0)),IF(ISERROR(MATCH(A37,'liste reference'!$B$8:$B$904,0)),"",(MATCH(A37,'liste reference'!$B$8:$B$904,0))),(MATCH(A37,'liste reference'!$A$8:$A$904,0)))</f>
      </c>
      <c r="AA37" s="385"/>
      <c r="AB37" s="372" t="s">
        <v>2724</v>
      </c>
      <c r="AC37" s="372"/>
      <c r="BB37" s="183">
        <f t="shared" si="8"/>
        <v>1</v>
      </c>
    </row>
    <row r="38" spans="1:54" ht="12.75">
      <c r="A38" s="322" t="s">
        <v>2718</v>
      </c>
      <c r="B38" s="241">
        <v>0.05</v>
      </c>
      <c r="C38" s="242">
        <v>0.005</v>
      </c>
      <c r="D38" s="221">
        <f>IF(ISERROR(VLOOKUP($A38,'liste reference'!$A$7:$D$904,2,0)),IF(ISERROR(VLOOKUP($A38,'liste reference'!$B$7:$D$904,1,0)),"",VLOOKUP($A38,'liste reference'!$B$7:$D$904,1,0)),VLOOKUP($A38,'liste reference'!$A$7:$D$904,2,0))</f>
      </c>
      <c r="E38" s="224">
        <f>IF(D38="",,VLOOKUP(D38,D$22:D37,1,0))</f>
        <v>0</v>
      </c>
      <c r="F38" s="39">
        <f t="shared" si="1"/>
        <v>0.029300000000000003</v>
      </c>
      <c r="G38" s="507" t="str">
        <f>IF(A38="","",IF(ISERROR(VLOOKUP($A38,'liste reference'!$A$7:$P$904,13,0)),IF(ISERROR(VLOOKUP($A38,'liste reference'!$B$7:$P$904,12,0)),"    -",VLOOKUP($A38,'liste reference'!$B$7:$P$904,12,0)),VLOOKUP($A38,'liste reference'!$A$7:$P$904,13,0)))</f>
        <v>    -</v>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Paspalum distichum</v>
      </c>
      <c r="L38" s="333"/>
      <c r="M38" s="333"/>
      <c r="N38" s="333"/>
      <c r="O38" s="367"/>
      <c r="P38" s="367" t="str">
        <f>IF($A38="NEWCOD",IF($AC38="","No",$AC38),IF(ISTEXT($E38),"DEJA SAISI !",IF($A38="","",IF(ISERROR(VLOOKUP($A38,'liste reference'!A:S,19,FALSE)),IF(ISERROR(VLOOKUP($A38,'liste reference'!B:S,19,FALSE)),"",VLOOKUP($A38,'liste reference'!B:S,19,FALSE)),VLOOKUP($A38,'liste reference'!A:S,19,FALSE)))))</f>
        <v>No</v>
      </c>
      <c r="Q38" s="222">
        <f t="shared" si="2"/>
      </c>
      <c r="R38" s="223">
        <f t="shared" si="3"/>
      </c>
      <c r="S38" s="223">
        <f t="shared" si="4"/>
        <v>0</v>
      </c>
      <c r="T38" s="223">
        <f t="shared" si="5"/>
        <v>0</v>
      </c>
      <c r="U38" s="225">
        <f t="shared" si="6"/>
        <v>0</v>
      </c>
      <c r="V38" s="287">
        <f t="shared" si="7"/>
      </c>
      <c r="W38" s="289" t="s">
        <v>1130</v>
      </c>
      <c r="Y38" s="324" t="str">
        <f>IF(A38="new.cod","NEWCOD",IF(AND((Z38=""),ISTEXT(A38)),A38,IF(Z38="","",INDEX('liste reference'!$A$8:$A$904,Z38))))</f>
        <v>NEWCOD</v>
      </c>
      <c r="Z38" s="183">
        <f>IF(ISERROR(MATCH(A38,'liste reference'!$A$8:$A$904,0)),IF(ISERROR(MATCH(A38,'liste reference'!$B$8:$B$904,0)),"",(MATCH(A38,'liste reference'!$B$8:$B$904,0))),(MATCH(A38,'liste reference'!$A$8:$A$904,0)))</f>
      </c>
      <c r="AA38" s="385"/>
      <c r="AB38" s="372" t="s">
        <v>2721</v>
      </c>
      <c r="AC38" s="372"/>
      <c r="BB38" s="183">
        <f t="shared" si="8"/>
        <v>1</v>
      </c>
    </row>
    <row r="39" spans="1:54" ht="12.75">
      <c r="A39" s="322" t="s">
        <v>2718</v>
      </c>
      <c r="B39" s="241">
        <v>0.05</v>
      </c>
      <c r="C39" s="242">
        <v>0.005</v>
      </c>
      <c r="D39" s="221">
        <f>IF(ISERROR(VLOOKUP($A39,'liste reference'!$A$7:$D$904,2,0)),IF(ISERROR(VLOOKUP($A39,'liste reference'!$B$7:$D$904,1,0)),"",VLOOKUP($A39,'liste reference'!$B$7:$D$904,1,0)),VLOOKUP($A39,'liste reference'!$A$7:$D$904,2,0))</f>
      </c>
      <c r="E39" s="224">
        <f>IF(D39="",,VLOOKUP(D39,D$22:D38,1,0))</f>
        <v>0</v>
      </c>
      <c r="F39" s="39">
        <f t="shared" si="1"/>
        <v>0.029300000000000003</v>
      </c>
      <c r="G39" s="507" t="str">
        <f>IF(A39="","",IF(ISERROR(VLOOKUP($A39,'liste reference'!$A$7:$P$904,13,0)),IF(ISERROR(VLOOKUP($A39,'liste reference'!$B$7:$P$904,12,0)),"    -",VLOOKUP($A39,'liste reference'!$B$7:$P$904,12,0)),VLOOKUP($A39,'liste reference'!$A$7:$P$904,13,0)))</f>
        <v>    -</v>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Rorippa sylvestris</v>
      </c>
      <c r="L39" s="333"/>
      <c r="M39" s="333"/>
      <c r="N39" s="333"/>
      <c r="O39" s="367"/>
      <c r="P39" s="367" t="str">
        <f>IF($A39="NEWCOD",IF($AC39="","No",$AC39),IF(ISTEXT($E39),"DEJA SAISI !",IF($A39="","",IF(ISERROR(VLOOKUP($A39,'liste reference'!A:S,19,FALSE)),IF(ISERROR(VLOOKUP($A39,'liste reference'!B:S,19,FALSE)),"",VLOOKUP($A39,'liste reference'!B:S,19,FALSE)),VLOOKUP($A39,'liste reference'!A:S,19,FALSE)))))</f>
        <v>No</v>
      </c>
      <c r="Q39" s="222">
        <f t="shared" si="2"/>
      </c>
      <c r="R39" s="223">
        <f t="shared" si="3"/>
      </c>
      <c r="S39" s="223">
        <f t="shared" si="4"/>
        <v>0</v>
      </c>
      <c r="T39" s="223">
        <f t="shared" si="5"/>
        <v>0</v>
      </c>
      <c r="U39" s="225">
        <f t="shared" si="6"/>
        <v>0</v>
      </c>
      <c r="V39" s="287">
        <f t="shared" si="7"/>
      </c>
      <c r="W39" s="289" t="s">
        <v>1130</v>
      </c>
      <c r="Y39" s="324" t="str">
        <f>IF(A39="new.cod","NEWCOD",IF(AND((Z39=""),ISTEXT(A39)),A39,IF(Z39="","",INDEX('liste reference'!$A$8:$A$904,Z39))))</f>
        <v>NEWCOD</v>
      </c>
      <c r="Z39" s="183">
        <f>IF(ISERROR(MATCH(A39,'liste reference'!$A$8:$A$904,0)),IF(ISERROR(MATCH(A39,'liste reference'!$B$8:$B$904,0)),"",(MATCH(A39,'liste reference'!$B$8:$B$904,0))),(MATCH(A39,'liste reference'!$A$8:$A$904,0)))</f>
      </c>
      <c r="AA39" s="385"/>
      <c r="AB39" s="372" t="s">
        <v>2722</v>
      </c>
      <c r="AC39" s="372"/>
      <c r="BB39" s="183">
        <f t="shared" si="8"/>
        <v>1</v>
      </c>
    </row>
    <row r="40" spans="1:54" ht="12.75">
      <c r="A40" s="322" t="s">
        <v>2718</v>
      </c>
      <c r="B40" s="241"/>
      <c r="C40" s="242">
        <v>0.005</v>
      </c>
      <c r="D40" s="221">
        <f>IF(ISERROR(VLOOKUP($A40,'liste reference'!$A$7:$D$904,2,0)),IF(ISERROR(VLOOKUP($A40,'liste reference'!$B$7:$D$904,1,0)),"",VLOOKUP($A40,'liste reference'!$B$7:$D$904,1,0)),VLOOKUP($A40,'liste reference'!$A$7:$D$904,2,0))</f>
      </c>
      <c r="E40" s="224">
        <f>IF(D40="",,VLOOKUP(D40,D$22:D39,1,0))</f>
        <v>0</v>
      </c>
      <c r="F40" s="39">
        <f t="shared" si="1"/>
        <v>0.0023</v>
      </c>
      <c r="G40" s="507" t="str">
        <f>IF(A40="","",IF(ISERROR(VLOOKUP($A40,'liste reference'!$A$7:$P$904,13,0)),IF(ISERROR(VLOOKUP($A40,'liste reference'!$B$7:$P$904,12,0)),"    -",VLOOKUP($A40,'liste reference'!$B$7:$P$904,12,0)),VLOOKUP($A40,'liste reference'!$A$7:$P$904,13,0)))</f>
        <v>    -</v>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Digitaria sanguinalis</v>
      </c>
      <c r="L40" s="333"/>
      <c r="M40" s="333"/>
      <c r="N40" s="333"/>
      <c r="O40" s="367"/>
      <c r="P40" s="367" t="str">
        <f>IF($A40="NEWCOD",IF($AC40="","No",$AC40),IF(ISTEXT($E40),"DEJA SAISI !",IF($A40="","",IF(ISERROR(VLOOKUP($A40,'liste reference'!A:S,19,FALSE)),IF(ISERROR(VLOOKUP($A40,'liste reference'!B:S,19,FALSE)),"",VLOOKUP($A40,'liste reference'!B:S,19,FALSE)),VLOOKUP($A40,'liste reference'!A:S,19,FALSE)))))</f>
        <v>No</v>
      </c>
      <c r="Q40" s="222">
        <f t="shared" si="2"/>
      </c>
      <c r="R40" s="223">
        <f t="shared" si="3"/>
      </c>
      <c r="S40" s="223">
        <f t="shared" si="4"/>
        <v>0</v>
      </c>
      <c r="T40" s="223">
        <f t="shared" si="5"/>
        <v>0</v>
      </c>
      <c r="U40" s="225">
        <f t="shared" si="6"/>
        <v>0</v>
      </c>
      <c r="V40" s="287">
        <f t="shared" si="7"/>
      </c>
      <c r="W40" s="289" t="s">
        <v>1130</v>
      </c>
      <c r="Y40" s="324" t="str">
        <f>IF(A40="new.cod","NEWCOD",IF(AND((Z40=""),ISTEXT(A40)),A40,IF(Z40="","",INDEX('liste reference'!$A$8:$A$904,Z40))))</f>
        <v>NEWCOD</v>
      </c>
      <c r="Z40" s="183">
        <f>IF(ISERROR(MATCH(A40,'liste reference'!$A$8:$A$904,0)),IF(ISERROR(MATCH(A40,'liste reference'!$B$8:$B$904,0)),"",(MATCH(A40,'liste reference'!$B$8:$B$904,0))),(MATCH(A40,'liste reference'!$A$8:$A$904,0)))</f>
      </c>
      <c r="AA40" s="385"/>
      <c r="AB40" s="372" t="s">
        <v>2732</v>
      </c>
      <c r="AC40" s="372"/>
      <c r="BB40" s="183">
        <f t="shared" si="8"/>
        <v>1</v>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GARDON D'ALES</v>
      </c>
      <c r="B84" s="231" t="str">
        <f>C3</f>
        <v>St Hilaire de Brethmas</v>
      </c>
      <c r="C84" s="232">
        <f>A4</f>
        <v>41512</v>
      </c>
      <c r="D84" s="233">
        <f>IF(ISERROR(SUM($T$23:$T$82)/SUM($U$23:$U$82)),"",SUM($T$23:$T$82)/SUM($U$23:$U$82))</f>
        <v>7.956521739130435</v>
      </c>
      <c r="E84" s="234">
        <f>N13</f>
        <v>18</v>
      </c>
      <c r="F84" s="231">
        <f>N14</f>
        <v>11</v>
      </c>
      <c r="G84" s="231">
        <f>N15</f>
        <v>8</v>
      </c>
      <c r="H84" s="231">
        <f>N16</f>
        <v>3</v>
      </c>
      <c r="I84" s="231">
        <f>N17</f>
        <v>0</v>
      </c>
      <c r="J84" s="235">
        <f>N8</f>
        <v>8.545454545454545</v>
      </c>
      <c r="K84" s="233">
        <f>N9</f>
        <v>2.606412943060264</v>
      </c>
      <c r="L84" s="234">
        <f>N10</f>
        <v>4</v>
      </c>
      <c r="M84" s="234">
        <f>N11</f>
        <v>12</v>
      </c>
      <c r="N84" s="233">
        <f>O8</f>
        <v>1.2727272727272727</v>
      </c>
      <c r="O84" s="233">
        <f>O9</f>
        <v>0.4453617714151233</v>
      </c>
      <c r="P84" s="234">
        <f>O10</f>
        <v>1</v>
      </c>
      <c r="Q84" s="234">
        <f>O11</f>
        <v>2</v>
      </c>
      <c r="R84" s="234">
        <f>F21</f>
        <v>12.0046</v>
      </c>
      <c r="S84" s="234">
        <f>K11</f>
        <v>0</v>
      </c>
      <c r="T84" s="234">
        <f>K12</f>
        <v>6</v>
      </c>
      <c r="U84" s="234">
        <f>K13</f>
        <v>1</v>
      </c>
      <c r="V84" s="236">
        <f>K14</f>
        <v>1</v>
      </c>
      <c r="W84" s="237">
        <f>K15</f>
        <v>6</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30</v>
      </c>
      <c r="T88" s="183"/>
      <c r="U88" s="183"/>
      <c r="V88" s="183"/>
    </row>
    <row r="89" spans="17:20" ht="12.75" hidden="1">
      <c r="Q89" s="183" t="s">
        <v>1139</v>
      </c>
      <c r="R89" s="183"/>
      <c r="S89" s="287">
        <f>VLOOKUP((S87),($S$23:$U$82),3,0)</f>
        <v>3</v>
      </c>
      <c r="T89" s="183"/>
    </row>
    <row r="90" spans="17:20" ht="12.75">
      <c r="Q90" s="183" t="s">
        <v>1140</v>
      </c>
      <c r="R90" s="183"/>
      <c r="S90" s="291">
        <f>IF(ISERROR(SUM($T$23:$T$82)/SUM($U$23:$U$82)),"",(SUM($T$23:$T$82)-S88)/(SUM($U$23:$U$82)-S89))</f>
        <v>7.65</v>
      </c>
      <c r="T90" s="183"/>
    </row>
    <row r="91" spans="17:21" ht="12.75">
      <c r="Q91" s="223" t="s">
        <v>1613</v>
      </c>
      <c r="R91" s="223"/>
      <c r="S91" s="223" t="str">
        <f>INDEX('liste reference'!$A$8:$A$904,$T$91)</f>
        <v>MELSPX</v>
      </c>
      <c r="T91" s="183">
        <f>IF(ISERROR(MATCH($S$93,'liste reference'!$A$8:$A$904,0)),MATCH($S$93,'liste reference'!$B$8:$B$904,0),(MATCH($S$93,'liste reference'!$A$8:$A$904,0)))</f>
        <v>36</v>
      </c>
      <c r="U91" s="229"/>
    </row>
    <row r="92" spans="17:20" ht="12.75">
      <c r="Q92" s="183" t="s">
        <v>1371</v>
      </c>
      <c r="R92" s="183"/>
      <c r="S92" s="183">
        <f>MATCH(S87,$S$23:$S$82,0)</f>
        <v>3</v>
      </c>
      <c r="T92" s="183"/>
    </row>
    <row r="93" spans="17:20" ht="12.75">
      <c r="Q93" s="223" t="s">
        <v>1370</v>
      </c>
      <c r="R93" s="183"/>
      <c r="S93" s="223" t="str">
        <f>INDEX($A$23:$A$82,$S$92)</f>
        <v>MELSPX</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