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Gardon Alès" sheetId="6" state="visible" r:id="rId8"/>
    <sheet name="modele" sheetId="7" state="hidden" r:id="rId9"/>
    <sheet name="liste codes réf" sheetId="8" state="hidden" r:id="rId10"/>
  </sheets>
  <definedNames>
    <definedName function="false" hidden="false" localSheetId="5" name="_xlnm.Print_Area" vbProcedure="false">'Gardon Alès'!$A$1:$O$82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'Gardon Alès'!$A$23:$J$84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<sst xmlns="http://schemas.openxmlformats.org/spreadsheetml/2006/main" count="7357" uniqueCount="2733">
  <si>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</si>
  <si>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</si>
  <si>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</si>
  <si>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</si>
  <si>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</si>
  <si>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</si>
  <si>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</si>
  <si>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</si>
  <si>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</si>
  <si>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</si>
  <si>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</si>
  <si>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</si>
  <si>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</si>
  <si>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</si>
  <si>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</si>
  <si>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</si>
  <si>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</si>
  <si>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</si>
  <si>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</si>
  <si>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</si>
  <si>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</si>
  <si>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</si>
  <si>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</si>
  <si>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</si>
  <si>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</si>
  <si>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</si>
  <si>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</si>
  <si>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</si>
  <si>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</si>
  <si>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</si>
  <si>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</si>
  <si>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</si>
  <si>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</si>
  <si>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</si>
  <si>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</si>
  <si>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</si>
  <si>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</si>
  <si>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</si>
  <si>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</si>
  <si>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</si>
  <si>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</si>
  <si>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</si>
  <si>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</si>
  <si>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</si>
  <si>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</si>
  <si>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</si>
  <si>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</si>
  <si>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</si>
  <si>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</si>
  <si>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</si>
  <si>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</si>
  <si>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</si>
  <si>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</si>
  <si>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</si>
  <si>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</si>
  <si>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</si>
  <si>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</si>
  <si>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</si>
  <si>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</si>
  <si>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</si>
  <si>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</si>
  <si>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</si>
  <si>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</si>
  <si>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</si>
  <si>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</si>
  <si>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</si>
  <si>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</si>
  <si>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</si>
  <si>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</si>
  <si>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</si>
  <si>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</si>
  <si>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</si>
  <si>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</si>
  <si>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</si>
  <si>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</si>
  <si>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</si>
  <si>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</si>
  <si>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</si>
  <si>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</si>
  <si>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</si>
  <si>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</si>
  <si>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</si>
  <si>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</si>
  <si>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</si>
  <si>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</si>
  <si>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</si>
  <si>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</si>
  <si>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</si>
  <si>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</si>
  <si>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</si>
  <si>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</si>
  <si>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</si>
  <si>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</si>
  <si>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</si>
  <si>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</si>
  <si>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</si>
  <si>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</si>
  <si>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</si>
  <si>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</si>
  <si>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</si>
  <si>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</si>
  <si>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</si>
  <si>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</si>
  <si>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</si>
  <si>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</si>
  <si>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</si>
  <si>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</si>
  <si>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</si>
  <si>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</si>
  <si>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</si>
  <si>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</si>
  <si>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</si>
  <si>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</si>
  <si>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</si>
  <si>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</si>
  <si>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</si>
  <si>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</si>
  <si>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</si>
  <si>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</si>
  <si>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</si>
  <si>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</si>
  <si>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</si>
  <si>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</si>
  <si>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</si>
  <si>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</si>
  <si>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</si>
  <si>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</si>
  <si>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</si>
  <si>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</si>
  <si>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</si>
  <si>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</si>
  <si>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</si>
  <si>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</si>
  <si>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</si>
  <si>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</si>
  <si>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</si>
  <si>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</si>
  <si>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</si>
  <si>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</si>
  <si>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</si>
  <si>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</si>
  <si>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</si>
  <si>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</si>
  <si>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</si>
  <si>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</si>
  <si>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</si>
  <si>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</si>
  <si>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</si>
  <si>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</si>
  <si>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</si>
  <si>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</si>
  <si>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</si>
  <si>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</si>
  <si>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</si>
  <si>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</si>
  <si>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</si>
  <si>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</si>
  <si>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</si>
  <si>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</si>
  <si>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</si>
  <si>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</si>
  <si>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</si>
  <si>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</si>
  <si>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</si>
  <si>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</si>
  <si>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</si>
  <si>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</si>
  <si>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</si>
  <si>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</si>
  <si>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</si>
  <si>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</si>
  <si>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</si>
  <si>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</si>
  <si>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</si>
  <si>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</si>
  <si>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</si>
  <si>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</si>
  <si>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</si>
  <si>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</si>
  <si>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</si>
  <si>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</si>
  <si>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</si>
  <si>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</si>
  <si>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</si>
  <si>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</si>
  <si>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</si>
  <si>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</si>
  <si>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</si>
  <si>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</si>
  <si>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</si>
  <si>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</si>
  <si>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</si>
  <si>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</si>
  <si>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</si>
  <si>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</si>
  <si>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</si>
  <si>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</si>
  <si>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</si>
  <si>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</si>
  <si>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</si>
  <si>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</si>
  <si>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</si>
  <si>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</si>
  <si>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</si>
  <si>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</si>
  <si>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</si>
  <si>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</si>
  <si>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</si>
  <si>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</si>
  <si>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</si>
  <si>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</si>
  <si>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</si>
  <si>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</si>
  <si>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</si>
  <si>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</si>
  <si>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</si>
  <si>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</si>
  <si>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</si>
  <si>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</si>
  <si>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</si>
  <si>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</si>
  <si>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</si>
  <si>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</si>
  <si>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</si>
  <si>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</si>
  <si>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</si>
  <si>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</si>
  <si>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</si>
  <si>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</si>
  <si>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</si>
  <si>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</si>
  <si>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</si>
  <si>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</si>
  <si>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</si>
  <si>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</si>
  <si>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</si>
  <si>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</si>
  <si>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</si>
  <si>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</si>
  <si>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</si>
  <si>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</si>
  <si>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</si>
  <si>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</si>
  <si>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</si>
  <si>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</si>
  <si>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</si>
  <si>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</si>
  <si>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</si>
  <si>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</si>
  <si>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</si>
  <si>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</si>
  <si>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</si>
  <si>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</si>
  <si>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</si>
  <si>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</si>
  <si>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</si>
  <si>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</si>
  <si>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</si>
  <si>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</si>
  <si>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</si>
  <si>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</si>
  <si>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</si>
  <si>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</si>
  <si>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</si>
  <si>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</si>
  <si>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</si>
  <si>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</si>
  <si>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</si>
  <si>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</si>
  <si>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</si>
  <si>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</si>
  <si>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</si>
  <si>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</si>
  <si>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</si>
  <si>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</si>
  <si>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</si>
  <si>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</si>
  <si>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</si>
  <si>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</si>
  <si>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</si>
  <si>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</si>
  <si>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</si>
  <si>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</si>
  <si>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</si>
  <si>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</si>
  <si>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</si>
  <si>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</si>
  <si>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</si>
  <si>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</si>
  <si>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</si>
  <si>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</si>
  <si>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</si>
  <si>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</si>
  <si>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</si>
  <si>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</si>
  <si>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</si>
  <si>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</si>
  <si>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</si>
  <si>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</si>
  <si>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</si>
  <si>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</si>
  <si>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</si>
  <si>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</si>
  <si>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</si>
  <si>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</si>
  <si>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</si>
  <si>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</si>
  <si>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</si>
  <si>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</si>
  <si>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</si>
  <si>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</si>
  <si>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</si>
  <si>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</si>
  <si>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</si>
  <si>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</si>
  <si>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</si>
  <si>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</si>
  <si>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</si>
  <si>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</si>
  <si>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</si>
  <si>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</si>
  <si>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</si>
  <si>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</si>
  <si>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</si>
  <si>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</si>
  <si>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</si>
  <si>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</si>
  <si>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</si>
  <si>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</si>
  <si>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</si>
  <si>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</si>
  <si>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</si>
  <si>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</si>
  <si>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</si>
  <si>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</si>
  <si>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</si>
  <si>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</si>
  <si>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</si>
  <si>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</si>
  <si>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</si>
  <si>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</si>
  <si>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</si>
  <si>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</si>
  <si>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</si>
  <si>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</si>
  <si>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</si>
  <si>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</si>
  <si>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</si>
  <si>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</si>
  <si>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</si>
  <si>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</si>
  <si>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</si>
  <si>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</si>
  <si>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</si>
  <si>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</si>
  <si>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</si>
  <si>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</si>
  <si>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</si>
  <si>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</si>
  <si>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</si>
  <si>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</si>
  <si>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</si>
  <si>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</si>
  <si>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</si>
  <si>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</si>
  <si>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</si>
  <si>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</si>
  <si>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</si>
  <si>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</si>
  <si>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</si>
  <si>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</si>
  <si>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</si>
  <si>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</si>
  <si>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</si>
  <si>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</si>
  <si>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</si>
  <si>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</si>
  <si>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</si>
  <si>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</si>
  <si>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</si>
  <si>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</si>
  <si>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</si>
  <si>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</si>
  <si>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</si>
  <si>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</si>
  <si>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</si>
  <si>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</si>
  <si>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</si>
  <si>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</si>
  <si>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</si>
  <si>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</si>
  <si>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</si>
  <si>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</si>
  <si>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</si>
  <si>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</si>
  <si>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</si>
  <si>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</si>
  <si>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</si>
  <si>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</si>
  <si>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</si>
  <si>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</si>
  <si>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</si>
  <si>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</si>
  <si>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</si>
  <si>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</si>
  <si>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</si>
  <si>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</si>
  <si>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</si>
  <si>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</si>
  <si>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</si>
  <si>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</si>
  <si>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</si>
  <si>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</si>
  <si>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</si>
  <si>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</si>
  <si>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</si>
  <si>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</si>
  <si>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</si>
  <si>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</si>
  <si>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</si>
  <si>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</si>
  <si>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</si>
  <si>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</si>
  <si>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</si>
  <si>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</si>
  <si>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</si>
  <si>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</si>
  <si>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</si>
  <si>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</si>
  <si>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</si>
  <si>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</si>
  <si>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</si>
  <si>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</si>
  <si>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</si>
  <si>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</si>
  <si>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</si>
  <si>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</si>
  <si>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</si>
  <si>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</si>
  <si>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</si>
  <si>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</si>
  <si>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</si>
  <si>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</si>
  <si>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</si>
  <si>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</si>
  <si>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</si>
  <si>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</si>
  <si>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</si>
  <si>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</si>
  <si>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</si>
  <si>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</si>
  <si>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</si>
  <si>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</si>
  <si>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</si>
  <si>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</si>
  <si>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</si>
  <si>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</si>
  <si>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</si>
  <si>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</si>
  <si>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</si>
  <si>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</si>
  <si>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</si>
  <si>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</si>
  <si>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</si>
  <si>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</si>
  <si>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</si>
  <si>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</si>
  <si>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</si>
  <si>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</si>
  <si>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</si>
  <si>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</si>
  <si>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</si>
  <si>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</si>
  <si>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</si>
  <si>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</si>
  <si>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</si>
  <si>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</si>
  <si>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</si>
  <si>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</si>
  <si>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</si>
  <si>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</si>
  <si>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</si>
  <si>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</si>
  <si>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</si>
  <si>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</si>
  <si>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</si>
  <si>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</si>
  <si>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</si>
  <si>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</si>
  <si>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</si>
  <si>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</si>
  <si>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</si>
  <si>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</si>
  <si>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</si>
  <si>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</si>
  <si>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</si>
  <si>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</si>
  <si>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</si>
  <si>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</si>
  <si>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</si>
  <si>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</si>
  <si>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</si>
  <si>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</si>
  <si>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</si>
  <si>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</si>
  <si>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</si>
  <si>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</si>
  <si>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</si>
  <si>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</si>
  <si>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</si>
  <si>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</si>
  <si>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</si>
  <si>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</si>
  <si>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</si>
  <si>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</si>
  <si>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</si>
  <si>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</si>
  <si>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</si>
  <si>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</si>
  <si>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</si>
  <si>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</si>
  <si>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</si>
  <si>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</si>
  <si>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</si>
  <si>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</si>
  <si>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</si>
  <si>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</si>
  <si>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</si>
  <si>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</si>
  <si>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</si>
  <si>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</si>
  <si>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</si>
  <si>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</si>
  <si>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</si>
  <si>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</si>
  <si>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</si>
  <si>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</si>
  <si>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</si>
  <si>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</si>
  <si>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</si>
  <si>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</si>
  <si>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</si>
  <si>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</si>
  <si>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</si>
  <si>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</si>
  <si>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</si>
  <si>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</si>
  <si>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</si>
  <si>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</si>
  <si>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</si>
  <si>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</si>
  <si>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</si>
  <si>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</si>
  <si>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</si>
  <si>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</si>
  <si>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</si>
  <si>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</si>
  <si>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</si>
  <si>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</si>
  <si>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</si>
  <si>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</si>
  <si>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</si>
  <si>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</si>
  <si>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</si>
  <si>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</si>
  <si>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</si>
  <si>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</si>
  <si>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</si>
  <si>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</si>
  <si>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</si>
  <si>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</si>
  <si>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</si>
  <si>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</si>
  <si>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</si>
  <si>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</si>
  <si>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</si>
  <si>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</si>
  <si>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</si>
  <si>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</si>
  <si>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</si>
  <si>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</si>
  <si>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</si>
  <si>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</si>
  <si>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</si>
  <si>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</si>
  <si>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</si>
  <si>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</si>
  <si>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</si>
  <si>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</si>
  <si>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</si>
  <si>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</si>
  <si>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</si>
  <si>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</si>
  <si>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</si>
  <si>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</si>
  <si>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</si>
  <si>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</si>
  <si>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</si>
  <si>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</si>
  <si>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</si>
  <si>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</si>
  <si>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</si>
  <si>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</si>
  <si>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</si>
  <si>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</si>
  <si>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</si>
  <si>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</si>
  <si>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</si>
  <si>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</si>
  <si>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</si>
  <si>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</si>
  <si>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</si>
  <si>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</si>
  <si>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</si>
  <si>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</si>
  <si>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</si>
  <si>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</si>
  <si>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</si>
  <si>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</si>
  <si>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</si>
  <si>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</si>
  <si>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</si>
  <si>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</si>
  <si>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</si>
  <si>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</si>
  <si>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</si>
  <si>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</si>
  <si>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</si>
  <si>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</si>
  <si>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</si>
  <si>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</si>
  <si>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</si>
  <si>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</si>
  <si>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</si>
  <si>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</si>
  <si>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</si>
  <si>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</si>
  <si>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</si>
  <si>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</si>
  <si>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</si>
  <si>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</si>
  <si>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</si>
  <si>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</si>
  <si>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</si>
  <si>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</si>
  <si>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</si>
  <si>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</si>
  <si>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</si>
  <si>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</si>
  <si>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</si>
  <si>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</si>
  <si>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</si>
  <si>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</si>
  <si>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</si>
  <si>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</si>
  <si>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</si>
  <si>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</si>
  <si>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</si>
  <si>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</si>
  <si>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</si>
  <si>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</si>
  <si>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</si>
  <si>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</si>
  <si>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</si>
  <si>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</si>
  <si>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</si>
  <si>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</si>
  <si>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</si>
  <si>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</si>
  <si>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</si>
  <si>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</si>
  <si>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</si>
  <si>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</si>
  <si>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</si>
  <si>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</si>
  <si>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</si>
  <si>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</si>
  <si>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</si>
  <si>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</si>
  <si>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</si>
  <si>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</si>
  <si>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</si>
  <si>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</si>
  <si>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</si>
  <si>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</si>
  <si>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</si>
  <si>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</si>
  <si>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</si>
  <si>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</si>
  <si>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</si>
  <si>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</si>
  <si>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</si>
  <si>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</si>
  <si>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</si>
  <si>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</si>
  <si>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</si>
  <si>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</si>
  <si>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</si>
  <si>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</si>
  <si>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</si>
  <si>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</si>
  <si>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</si>
  <si>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</si>
  <si>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</si>
  <si>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</si>
  <si>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</si>
  <si>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</si>
  <si>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</si>
  <si>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</si>
  <si>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</si>
  <si>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</si>
  <si>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</si>
  <si>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</si>
  <si>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</si>
  <si>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</si>
  <si>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</si>
  <si>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</si>
  <si>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</si>
  <si>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</si>
  <si>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</si>
  <si>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</si>
  <si>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</si>
  <si>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</si>
  <si>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</si>
  <si>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</si>
  <si>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</si>
  <si>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</si>
  <si>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</si>
  <si>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</si>
  <si>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</si>
  <si>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</si>
  <si>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</si>
  <si>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</si>
  <si>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</si>
  <si>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</si>
  <si>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</si>
  <si>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</si>
  <si>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</si>
  <si>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</si>
  <si>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</si>
  <si>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</si>
  <si>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</si>
  <si>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</si>
  <si>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</si>
  <si>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</si>
  <si>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</si>
  <si>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</si>
  <si>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</si>
  <si>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</si>
  <si>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</si>
  <si>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</si>
  <si>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</si>
  <si>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</si>
  <si>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</si>
  <si>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</si>
  <si>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</si>
  <si>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</si>
  <si>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</si>
  <si>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</si>
  <si>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</si>
  <si>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</si>
  <si>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</si>
  <si>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</si>
  <si>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</si>
  <si>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</si>
  <si>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</si>
  <si>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</si>
  <si>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</si>
  <si>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</si>
  <si>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</si>
  <si>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</si>
  <si>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</si>
  <si>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</si>
  <si>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</si>
  <si>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</si>
  <si>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</si>
  <si>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</si>
  <si>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</si>
  <si>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</si>
  <si>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</si>
  <si>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</si>
  <si>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</si>
  <si>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</si>
  <si>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</si>
  <si>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</si>
  <si>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</si>
  <si>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</si>
  <si>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</si>
  <si>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</si>
  <si>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</si>
  <si>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</si>
  <si>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</si>
  <si>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</si>
  <si>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</si>
  <si>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</si>
  <si>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</si>
  <si>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</si>
  <si>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</si>
  <si>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</si>
  <si>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</si>
  <si>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</si>
  <si>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</si>
  <si>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</si>
  <si>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</si>
  <si>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</si>
  <si>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</si>
  <si>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</si>
  <si>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</si>
  <si>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</si>
  <si>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</si>
  <si>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</si>
  <si>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</si>
  <si>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</si>
  <si>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</si>
  <si>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</si>
  <si>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</si>
  <si>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</si>
  <si>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</si>
  <si>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</si>
  <si>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</si>
  <si>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</si>
  <si>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</si>
  <si>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</si>
  <si>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</si>
  <si>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</si>
  <si>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</si>
  <si>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</si>
  <si>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</si>
  <si>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</si>
  <si>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</si>
  <si>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</si>
  <si>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</si>
  <si>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</si>
  <si>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</si>
  <si>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</si>
  <si>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</si>
  <si>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</si>
  <si>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</si>
  <si>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</si>
  <si>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</si>
  <si>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</si>
  <si>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</si>
  <si>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</si>
  <si>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</si>
  <si>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</si>
  <si>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</si>
  <si>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</si>
  <si>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</si>
  <si>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</si>
  <si>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</si>
  <si>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</si>
  <si>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</si>
  <si>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</si>
  <si>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</si>
  <si>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</si>
  <si>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</si>
  <si>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</si>
  <si>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</si>
  <si>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</si>
  <si>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</si>
  <si>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</si>
  <si>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</si>
  <si>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</si>
  <si>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</si>
  <si>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</si>
  <si>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</si>
  <si>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</si>
  <si>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</si>
  <si>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</si>
  <si>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</si>
  <si>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</si>
  <si>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</si>
  <si>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</si>
  <si>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</si>
  <si>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</si>
  <si>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</si>
  <si>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</si>
  <si>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</si>
  <si>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</si>
  <si>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</si>
  <si>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</si>
  <si>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</si>
  <si>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</si>
  <si>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</si>
  <si>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</si>
  <si>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</si>
  <si>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</si>
  <si>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</si>
  <si>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</si>
  <si>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</si>
  <si>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</si>
  <si>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</si>
  <si>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</si>
  <si>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</si>
  <si>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</si>
  <si>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</si>
  <si>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</si>
  <si>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</si>
  <si>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</si>
  <si>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</si>
  <si>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</si>
  <si>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</si>
  <si>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</si>
  <si>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</si>
  <si>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</si>
  <si>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</si>
  <si>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</si>
  <si>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</si>
  <si>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</si>
  <si>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</si>
  <si>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</si>
  <si>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</si>
  <si>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</si>
  <si>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</si>
  <si>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</si>
  <si>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</si>
  <si>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</si>
  <si>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</si>
  <si>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</si>
  <si>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</si>
  <si>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</si>
  <si>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</si>
  <si>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</si>
  <si>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</si>
  <si>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</si>
  <si>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</si>
  <si>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</si>
  <si>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</si>
  <si>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</si>
  <si>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</si>
  <si>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</si>
  <si>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</si>
  <si>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</si>
  <si>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</si>
  <si>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</si>
  <si>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</si>
  <si>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</si>
  <si>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</si>
  <si>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</si>
  <si>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</si>
  <si>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</si>
  <si>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</si>
  <si>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</si>
  <si>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</si>
  <si>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</si>
  <si>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</si>
  <si>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</si>
  <si>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</si>
  <si>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</si>
  <si>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</si>
  <si>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</si>
  <si>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</si>
  <si>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</si>
  <si>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</si>
  <si>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</si>
  <si>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</si>
  <si>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</si>
  <si>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</si>
  <si>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</si>
  <si>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</si>
  <si>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</si>
  <si>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</si>
  <si>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</si>
  <si>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</si>
  <si>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</si>
  <si>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</si>
  <si>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</si>
  <si>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</si>
  <si>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</si>
  <si>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</si>
  <si>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</si>
  <si>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</si>
  <si>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</si>
  <si>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</si>
  <si>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</si>
  <si>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</si>
  <si>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</si>
  <si>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</si>
  <si>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</si>
  <si>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</si>
  <si>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</si>
  <si>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</si>
  <si>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</si>
  <si>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</si>
  <si>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</si>
  <si>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</si>
  <si>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</si>
  <si>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</si>
  <si>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</si>
  <si>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</si>
  <si>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</si>
  <si>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</si>
  <si>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</si>
  <si>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</si>
  <si>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</si>
  <si>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</si>
  <si>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</si>
  <si>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</si>
  <si>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</si>
  <si>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</si>
  <si>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</si>
  <si>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</si>
  <si>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</si>
  <si>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</si>
  <si>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</si>
  <si>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</si>
  <si>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</si>
  <si>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</si>
  <si>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</si>
  <si>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</si>
  <si>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</si>
  <si>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</si>
  <si>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</si>
  <si>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</si>
  <si>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</si>
  <si>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</si>
  <si>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</si>
  <si>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</si>
  <si>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</si>
  <si>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</si>
  <si>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</si>
  <si>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</si>
  <si>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</si>
  <si>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</si>
  <si>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</si>
  <si>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</si>
  <si>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</si>
  <si>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</si>
  <si>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</si>
  <si>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</si>
  <si>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</si>
  <si>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</si>
  <si>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</si>
  <si>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</si>
  <si>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</si>
  <si>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</si>
  <si>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</si>
  <si>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</si>
  <si>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</si>
  <si>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</si>
  <si>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</si>
  <si>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</si>
  <si>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</si>
  <si>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</si>
  <si>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</si>
  <si>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</si>
  <si>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</si>
  <si>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</si>
  <si>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</si>
  <si>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</si>
  <si>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</si>
  <si>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</si>
  <si>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</si>
  <si>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</si>
  <si>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</si>
  <si>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</si>
  <si>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</si>
  <si>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</si>
  <si>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</si>
  <si>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</si>
  <si>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</si>
  <si>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</si>
  <si>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</si>
  <si>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</si>
  <si>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</si>
  <si>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</si>
  <si>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</si>
  <si>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</si>
  <si>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</si>
  <si>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</si>
  <si>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</si>
  <si>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</si>
  <si>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</si>
  <si>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</si>
  <si>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</si>
  <si>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</si>
  <si>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</si>
  <si>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</si>
  <si>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</si>
  <si>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</si>
  <si>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</si>
  <si>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</si>
  <si>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</si>
  <si>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</si>
  <si>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</si>
  <si>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</si>
  <si>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</si>
  <si>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</si>
  <si>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</si>
  <si>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</si>
  <si>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</si>
  <si>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</si>
  <si>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</si>
  <si>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</si>
  <si>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</si>
  <si>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</si>
  <si>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</si>
  <si>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</si>
  <si>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</si>
  <si>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</si>
  <si>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</si>
  <si>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</si>
  <si>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</si>
  <si>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</si>
  <si>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</si>
  <si>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</si>
  <si>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</si>
  <si>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</si>
  <si>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</si>
  <si>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</si>
  <si>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</si>
  <si>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</si>
  <si>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</si>
  <si>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</si>
  <si>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</si>
  <si>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</si>
  <si>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</si>
  <si>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</si>
  <si>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</si>
  <si>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</si>
  <si>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</si>
  <si>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</si>
  <si>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</si>
  <si>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</si>
  <si>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</si>
  <si>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</si>
  <si>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</si>
  <si>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</si>
  <si>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</si>
  <si>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</si>
  <si>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</si>
  <si>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</si>
  <si>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</si>
  <si>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</si>
  <si>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</si>
  <si>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</si>
  <si>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</si>
  <si>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</si>
  <si>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</si>
  <si>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</si>
  <si>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</si>
  <si>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</si>
  <si>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</si>
  <si>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</si>
  <si>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</si>
  <si>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</si>
  <si>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</si>
  <si>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</si>
  <si>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</si>
  <si>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</si>
  <si>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</si>
  <si>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</si>
  <si>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</si>
  <si>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</si>
  <si>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</si>
  <si>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</si>
  <si>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</si>
  <si>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</si>
  <si>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</si>
  <si>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</si>
  <si>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</si>
  <si>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</si>
  <si>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</si>
  <si>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</si>
  <si>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</si>
  <si>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</si>
  <si>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</si>
  <si>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</si>
  <si>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</si>
  <si>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</si>
  <si>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</si>
  <si>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</si>
  <si>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</si>
  <si>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</si>
  <si>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</si>
  <si>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</si>
  <si>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</si>
  <si>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</si>
  <si>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</si>
  <si>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</si>
  <si>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</si>
  <si>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</si>
  <si>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</si>
  <si>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</si>
  <si>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</si>
  <si>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</si>
  <si>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</si>
  <si>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</si>
  <si>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</si>
  <si>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</si>
  <si>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</si>
  <si>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</si>
  <si>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</si>
  <si>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</si>
  <si>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</si>
  <si>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</si>
  <si>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</si>
  <si>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</si>
  <si>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</si>
  <si>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</si>
  <si>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</si>
  <si>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</si>
  <si>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</si>
  <si>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</si>
  <si>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</si>
  <si>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</si>
  <si>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</si>
  <si>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</si>
  <si>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</si>
  <si>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</si>
  <si>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</si>
  <si>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</si>
  <si>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</si>
  <si>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</si>
  <si>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</si>
  <si>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</si>
  <si>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</si>
  <si>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</si>
  <si>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</si>
  <si>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</si>
  <si>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</si>
  <si>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</si>
  <si>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</si>
  <si>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</si>
  <si>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</si>
  <si>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</si>
  <si>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</si>
  <si>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</si>
  <si>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</si>
  <si>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</si>
  <si>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</si>
  <si>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</si>
  <si>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</si>
  <si>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</si>
  <si>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</si>
  <si>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</si>
  <si>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</si>
  <si>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</si>
  <si>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</si>
  <si>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</si>
  <si>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</si>
  <si>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</si>
  <si>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</si>
  <si>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</si>
  <si>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</si>
  <si>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</si>
  <si>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</si>
  <si>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</si>
  <si>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</si>
  <si>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</si>
  <si>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</si>
  <si>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</si>
  <si>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</si>
  <si>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</si>
  <si>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</si>
  <si>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</si>
  <si>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</si>
  <si>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</si>
  <si>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</si>
  <si>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</si>
  <si>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</si>
  <si>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</si>
  <si>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</si>
  <si>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</si>
  <si>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</si>
  <si>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</si>
  <si>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</si>
  <si>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</si>
  <si>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</si>
  <si>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</si>
  <si>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</si>
  <si>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</si>
  <si>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</si>
  <si>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</si>
  <si>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</si>
  <si>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</si>
  <si>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</si>
  <si>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</si>
  <si>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</si>
  <si>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</si>
  <si>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</si>
  <si>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</si>
  <si>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</si>
  <si>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</si>
  <si>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</si>
  <si>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</si>
  <si>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</si>
  <si>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</si>
  <si>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</si>
  <si>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</si>
  <si>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</si>
  <si>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</si>
  <si>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</si>
  <si>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</si>
  <si>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</si>
  <si>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</si>
  <si>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</si>
  <si>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</si>
  <si>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</si>
  <si>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</si>
  <si>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</si>
  <si>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</si>
  <si>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</si>
  <si>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</si>
  <si>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</si>
  <si>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</si>
  <si>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</si>
  <si>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</si>
  <si>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</si>
  <si>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</si>
  <si>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</si>
  <si>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</si>
  <si>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</si>
  <si>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</si>
  <si>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</si>
  <si>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</si>
  <si>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</si>
  <si>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</si>
  <si>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</si>
  <si>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</si>
  <si>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</si>
  <si>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</si>
  <si>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</si>
  <si>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</si>
  <si>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</si>
  <si>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</si>
  <si>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</si>
  <si>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</si>
  <si>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</si>
  <si>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</si>
  <si>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</si>
  <si>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</si>
  <si>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</si>
  <si>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</si>
  <si>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</si>
  <si>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</si>
  <si>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</si>
  <si>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</si>
  <si>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</si>
  <si>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</si>
  <si>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</si>
  <si>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</si>
  <si>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</si>
  <si>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</si>
  <si>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</si>
  <si>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</si>
  <si>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</si>
  <si>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</si>
  <si>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</si>
  <si>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</si>
  <si>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</si>
  <si>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</si>
  <si>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</si>
  <si>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</si>
  <si>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</si>
  <si>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</si>
  <si>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</si>
  <si>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</si>
  <si>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</si>
  <si>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</si>
  <si>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</si>
  <si>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</si>
  <si>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</si>
  <si>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</si>
  <si>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</si>
  <si>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</si>
  <si>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</si>
  <si>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</si>
  <si>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</si>
  <si>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</si>
  <si>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</si>
  <si>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</si>
  <si>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</si>
  <si>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</si>
  <si>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</si>
  <si>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</si>
  <si>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</si>
  <si>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</si>
  <si>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</si>
  <si>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</si>
  <si>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</si>
  <si>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</si>
  <si>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</si>
  <si>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</si>
  <si>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</si>
  <si>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</si>
  <si>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</si>
  <si>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</si>
  <si>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</si>
  <si>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</si>
  <si>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</si>
  <si>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</si>
  <si>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</si>
  <si>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</si>
  <si>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</si>
  <si>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</si>
  <si>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</si>
  <si>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</si>
  <si>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</si>
  <si>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</si>
  <si>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</si>
  <si>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</si>
  <si>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</si>
  <si>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</si>
  <si>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</si>
  <si>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</si>
  <si>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</si>
  <si>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</si>
  <si>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</si>
  <si>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</si>
  <si>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</si>
  <si>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</si>
  <si>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</si>
  <si>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</si>
  <si>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</si>
  <si>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</si>
  <si>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</si>
  <si>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</si>
  <si>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</si>
  <si>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</si>
  <si>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</si>
  <si>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</si>
  <si>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</si>
  <si>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</si>
  <si>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</si>
  <si>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</si>
  <si>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</si>
  <si>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</si>
  <si>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</si>
  <si>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</si>
  <si>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</si>
  <si>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</si>
  <si>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</si>
  <si>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</si>
  <si>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</si>
  <si>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</si>
  <si>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</si>
  <si>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</si>
  <si>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</si>
  <si>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</si>
  <si>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</si>
  <si>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</si>
  <si>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</si>
  <si>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</si>
  <si>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</si>
  <si>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</si>
  <si>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</si>
  <si>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</si>
  <si>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</si>
  <si>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</si>
  <si>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</si>
  <si>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</si>
  <si>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</si>
  <si>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</si>
  <si>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</si>
  <si>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</si>
  <si>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</si>
  <si>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</si>
  <si>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</si>
  <si>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</si>
  <si>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</si>
  <si>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</si>
  <si>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</si>
  <si>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</si>
  <si>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</si>
  <si>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</si>
  <si>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</si>
  <si>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</si>
  <si>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</si>
  <si>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</si>
  <si>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</si>
  <si>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</si>
  <si>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</si>
  <si>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</si>
  <si>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</si>
  <si>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</si>
  <si>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</si>
  <si>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</si>
  <si>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</si>
  <si>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</si>
  <si>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</si>
  <si>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</si>
  <si>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</si>
  <si>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</si>
  <si>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</si>
  <si>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</si>
  <si>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</si>
  <si>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</si>
  <si>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</si>
  <si>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</si>
  <si>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</si>
  <si>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</si>
  <si>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</si>
  <si>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</si>
  <si>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</si>
  <si>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</si>
  <si>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</si>
  <si>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</si>
  <si>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</si>
  <si>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</si>
  <si>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</si>
  <si>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</si>
  <si>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</si>
  <si>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</si>
  <si>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</si>
  <si>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</si>
  <si>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</si>
  <si>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</si>
  <si>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</si>
  <si>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</si>
  <si>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</si>
  <si>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</si>
  <si>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</si>
  <si>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</si>
  <si>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</si>
  <si>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</si>
  <si>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</si>
  <si>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</si>
  <si>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</si>
  <si>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</si>
  <si>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</si>
  <si>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</si>
  <si>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</si>
  <si>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</si>
  <si>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</si>
  <si>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</si>
  <si>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</si>
  <si>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</si>
  <si>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</si>
  <si>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</si>
  <si>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</si>
  <si>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</si>
  <si>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</si>
  <si>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</si>
  <si>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</si>
  <si>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</si>
  <si>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</si>
  <si>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</si>
  <si>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</si>
  <si>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</si>
  <si>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</si>
  <si>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</si>
  <si>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</si>
  <si>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</si>
  <si>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</si>
  <si>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</si>
  <si>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</si>
  <si>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</si>
  <si>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</si>
  <si>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</si>
  <si>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</si>
  <si>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</si>
  <si>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</si>
  <si>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</si>
  <si>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</si>
  <si>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</si>
  <si>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</si>
  <si>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</si>
  <si>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</si>
  <si>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</si>
  <si>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</si>
  <si>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</si>
  <si>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</si>
  <si>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</si>
  <si>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</si>
  <si>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</si>
  <si>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</si>
  <si>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</si>
  <si>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</si>
  <si>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</si>
  <si>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</si>
  <si>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</si>
  <si>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</si>
  <si>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</si>
  <si>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</si>
  <si>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</si>
  <si>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</si>
  <si>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</si>
  <si>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</si>
  <si>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</si>
  <si>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</si>
  <si>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</si>
  <si>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</si>
  <si>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</si>
  <si>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</si>
  <si>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</si>
  <si>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</si>
  <si>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</si>
  <si>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</si>
  <si>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</si>
  <si>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</si>
  <si>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</si>
  <si>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</si>
  <si>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</si>
  <si>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</si>
  <si>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</si>
  <si>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</si>
  <si>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</si>
  <si>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</si>
  <si>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</si>
  <si>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</si>
  <si>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</si>
  <si>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</si>
  <si>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</si>
  <si>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</si>
  <si>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</si>
  <si>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</si>
  <si>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</si>
  <si>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</si>
  <si>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</si>
  <si>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</si>
  <si>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</si>
  <si>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</si>
  <si>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</si>
  <si>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</si>
  <si>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</si>
  <si>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</si>
  <si>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</si>
  <si>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</si>
  <si>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</si>
  <si>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</si>
  <si>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</si>
  <si>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</si>
  <si>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</si>
  <si>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</si>
  <si>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</si>
  <si>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</si>
  <si>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</si>
  <si>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</si>
  <si>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</si>
  <si>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</si>
  <si>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</si>
  <si>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</si>
  <si>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</si>
  <si>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</si>
  <si>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</si>
  <si>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</si>
  <si>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</si>
  <si>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</si>
  <si>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</si>
  <si>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</si>
  <si>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</si>
  <si>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</si>
  <si>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</si>
  <si>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</si>
  <si>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</si>
  <si>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</si>
  <si>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</si>
  <si>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</si>
  <si>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</si>
  <si>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</si>
  <si>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</si>
  <si>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</si>
  <si>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</si>
  <si>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</si>
  <si>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</si>
  <si>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</si>
  <si>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</si>
  <si>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</si>
  <si>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</si>
  <si>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</si>
  <si>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</si>
  <si>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</si>
  <si>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</si>
  <si>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</si>
  <si>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</si>
  <si>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</si>
  <si>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</si>
  <si>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</si>
  <si>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</si>
  <si>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</si>
  <si>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</si>
  <si>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</si>
  <si>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</si>
  <si>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</si>
  <si>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</si>
  <si>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</si>
  <si>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</si>
  <si>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</si>
  <si>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</si>
  <si>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</si>
  <si>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</si>
  <si>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</si>
  <si>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</si>
  <si>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</si>
  <si>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</si>
  <si>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</si>
  <si>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</si>
  <si>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</si>
  <si>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</si>
  <si>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</si>
  <si>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</si>
  <si>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</si>
  <si>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</si>
  <si>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</si>
  <si>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</si>
  <si>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</si>
  <si>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</si>
  <si>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</si>
  <si>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</si>
  <si>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</si>
  <si>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</si>
  <si>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</si>
  <si>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</si>
  <si>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</si>
  <si>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</si>
  <si>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</si>
  <si>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</si>
  <si>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</si>
  <si>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</si>
  <si>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</si>
  <si>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</si>
  <si>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</si>
  <si>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</si>
  <si>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</si>
  <si>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</si>
  <si>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</si>
  <si>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</si>
  <si>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</si>
  <si>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</si>
  <si>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</si>
  <si>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</si>
  <si>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</si>
  <si>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</si>
  <si>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</si>
  <si>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</si>
  <si>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</si>
  <si>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</si>
  <si>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</si>
  <si>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</si>
  <si>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</si>
  <si>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</si>
  <si>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</si>
  <si>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</si>
  <si>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</si>
  <si>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</si>
  <si>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</si>
  <si>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</si>
  <si>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</si>
  <si>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</si>
  <si>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</si>
  <si>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</si>
  <si>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</si>
  <si>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</si>
  <si>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</si>
  <si>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</si>
  <si>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</si>
  <si>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</si>
  <si>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</si>
  <si>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</si>
  <si>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</si>
  <si>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</si>
  <si>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</si>
  <si>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</si>
  <si>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</si>
  <si>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</si>
  <si>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</si>
  <si>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</si>
  <si>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</si>
  <si>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</si>
  <si>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</si>
  <si>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</si>
  <si>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</si>
  <si>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</si>
  <si>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</si>
  <si>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</si>
  <si>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</si>
  <si>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</si>
  <si>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</si>
  <si>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</si>
  <si>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</si>
  <si>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</si>
  <si>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</si>
  <si>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</si>
  <si>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</si>
  <si>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</si>
  <si>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</si>
  <si>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</si>
  <si>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</si>
  <si>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</si>
  <si>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</si>
  <si>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</si>
  <si>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</si>
  <si>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</si>
  <si>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</si>
  <si>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</si>
  <si>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</si>
  <si>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</si>
  <si>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</si>
  <si>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</si>
  <si>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</si>
  <si>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</si>
  <si>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</si>
  <si>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</si>
  <si>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</si>
  <si>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</si>
  <si>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</si>
  <si>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</si>
  <si>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</si>
  <si>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</si>
  <si>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</si>
  <si>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</si>
  <si>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</si>
  <si>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</si>
  <si>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</si>
  <si>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</si>
  <si>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</si>
  <si>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</si>
  <si>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</si>
  <si>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</si>
  <si>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</si>
  <si>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</si>
  <si>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</si>
  <si>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</si>
  <si>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</si>
  <si>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</si>
  <si>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</si>
  <si>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</si>
  <si>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</si>
  <si>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</si>
  <si>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</si>
  <si>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</si>
  <si>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</si>
  <si>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</si>
  <si>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</si>
  <si>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</si>
  <si>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</si>
  <si>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</si>
  <si>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</si>
  <si>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</si>
  <si>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</si>
  <si>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</si>
  <si>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</si>
  <si>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</si>
  <si>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</si>
  <si>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</si>
  <si>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</si>
  <si>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</si>
  <si>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</si>
  <si>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</si>
  <si>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</si>
  <si>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</si>
  <si>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</si>
  <si>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</si>
  <si>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</si>
  <si>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</si>
  <si>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</si>
  <si>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</si>
  <si>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</si>
  <si>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</si>
  <si>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</si>
  <si>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</si>
  <si>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</si>
  <si>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</si>
  <si>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</si>
  <si>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</si>
  <si>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</si>
  <si>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</si>
  <si>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</si>
  <si>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</si>
  <si>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</si>
  <si>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</si>
  <si>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</si>
  <si>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</si>
  <si>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</si>
  <si>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</si>
  <si>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</si>
  <si>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</si>
  <si>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</si>
  <si>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</si>
  <si>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</si>
  <si>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</si>
  <si>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</si>
  <si>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</si>
  <si>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</si>
  <si>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</si>
  <si>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</si>
  <si>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</si>
  <si>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</si>
  <si>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</si>
  <si>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</si>
  <si>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</si>
  <si>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</si>
  <si>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</si>
  <si>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</si>
  <si>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</si>
  <si>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</si>
  <si>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</si>
  <si>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</si>
  <si>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</si>
  <si>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</si>
  <si>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</si>
  <si>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</si>
  <si>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</si>
  <si>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</si>
  <si>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</si>
  <si>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</si>
  <si>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</si>
  <si>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</si>
  <si>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</si>
  <si>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</si>
  <si>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</si>
  <si>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</si>
  <si>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</si>
  <si>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</si>
  <si>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</si>
  <si>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</si>
  <si>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</si>
  <si>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</si>
  <si>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</si>
  <si>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</si>
  <si>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</si>
  <si>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</si>
  <si>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</si>
  <si>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</si>
  <si>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</si>
  <si>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</si>
  <si>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</si>
  <si>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</si>
  <si>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</si>
  <si>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</si>
  <si>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</si>
  <si>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</si>
  <si>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</si>
  <si>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</si>
  <si>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</si>
  <si>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</si>
  <si>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</si>
  <si>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</si>
  <si>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</si>
  <si>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</si>
  <si>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</si>
  <si>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</si>
  <si>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</si>
  <si>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</si>
  <si>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</si>
  <si>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</si>
  <si>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</si>
  <si>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</si>
  <si>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</si>
  <si>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</si>
  <si>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</si>
  <si>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</si>
  <si>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</si>
  <si>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</si>
  <si>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</si>
  <si>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</si>
  <si>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</si>
  <si>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</si>
  <si>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</si>
  <si>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</si>
  <si>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</si>
  <si>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</si>
  <si>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</si>
  <si>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</si>
  <si>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</si>
  <si>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</si>
  <si>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</si>
  <si>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</si>
  <si>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</si>
  <si>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</si>
  <si>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</si>
  <si>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</si>
  <si>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</si>
  <si>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</si>
  <si>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</si>
  <si>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</si>
  <si>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</si>
  <si>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</si>
  <si>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</si>
  <si>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</si>
  <si>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</si>
  <si>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</si>
  <si>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</si>
  <si>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</si>
  <si>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</si>
  <si>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</si>
  <si>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</si>
  <si>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</si>
  <si>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</si>
  <si>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</si>
  <si>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</si>
  <si>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</si>
  <si>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</si>
  <si>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</si>
  <si>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</si>
  <si>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</si>
  <si>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</si>
  <si>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</si>
  <si>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</si>
  <si>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</si>
  <si>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</si>
  <si>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</si>
  <si>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</si>
  <si>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</si>
  <si>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</si>
  <si>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</si>
  <si>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</si>
  <si>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</si>
  <si>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</si>
  <si>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</si>
  <si>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</si>
  <si>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</si>
  <si>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</si>
  <si>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</si>
  <si>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</si>
  <si>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</si>
  <si>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</si>
  <si>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</si>
  <si>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</si>
  <si>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</si>
  <si>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</si>
  <si>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</si>
  <si>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</si>
  <si>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</si>
  <si>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</si>
  <si>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</si>
  <si>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</si>
  <si>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</si>
  <si>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</si>
  <si>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</si>
  <si>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</si>
  <si>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</si>
  <si>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</si>
  <si>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</si>
  <si>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</si>
  <si>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</si>
  <si>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</si>
  <si>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</si>
  <si>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</si>
  <si>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</si>
  <si>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</si>
  <si>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</si>
  <si>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</si>
  <si>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</si>
  <si>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</si>
  <si>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</si>
  <si>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</si>
  <si>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</si>
  <si>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</si>
  <si>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</si>
  <si>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</si>
  <si>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</si>
  <si>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</si>
  <si>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</si>
  <si>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</si>
  <si>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</si>
  <si>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</si>
  <si>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</si>
  <si>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</si>
  <si>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</si>
  <si>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</si>
  <si>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</si>
  <si>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</si>
  <si>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</si>
  <si>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</si>
  <si>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</si>
  <si>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</si>
  <si>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</si>
  <si>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</si>
  <si>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</si>
  <si>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</si>
  <si>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</si>
  <si>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</si>
  <si>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</si>
  <si>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</si>
  <si>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</si>
  <si>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</si>
  <si>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</si>
  <si>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</si>
  <si>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</si>
  <si>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</si>
  <si>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</si>
  <si>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</si>
  <si>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</si>
  <si>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</si>
  <si>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</si>
  <si>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</si>
  <si>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</si>
  <si>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</si>
  <si>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</si>
  <si>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</si>
  <si>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</si>
  <si>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</si>
  <si>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</si>
  <si>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</si>
  <si>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</si>
  <si>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</si>
  <si>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</si>
  <si>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</si>
  <si>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</si>
  <si>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</si>
  <si>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</si>
  <si>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</si>
  <si>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</si>
  <si>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</si>
  <si>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</si>
  <si>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</si>
  <si>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</si>
  <si>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</si>
  <si>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</si>
  <si>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</si>
  <si>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</si>
  <si>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</si>
  <si>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</si>
  <si>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</si>
  <si>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</si>
  <si>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</si>
  <si>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</si>
  <si>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</si>
  <si>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</si>
  <si>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</si>
  <si>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</si>
  <si>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</si>
  <si>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</si>
  <si>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</si>
  <si>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</si>
  <si>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</si>
  <si>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</si>
  <si>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</si>
  <si>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</si>
  <si>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</si>
  <si>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</si>
  <si>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</si>
  <si>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</si>
  <si>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</si>
  <si>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</si>
  <si>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</si>
  <si>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</si>
  <si>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</si>
  <si>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</si>
  <si>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</si>
  <si>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</si>
  <si>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</si>
  <si>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</si>
  <si>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</si>
  <si>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</si>
  <si>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</si>
  <si>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</si>
  <si>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</si>
  <si>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</si>
  <si>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</si>
  <si>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</si>
  <si>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</si>
  <si>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</si>
  <si>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</si>
  <si>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</si>
  <si>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</si>
  <si>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</si>
  <si>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</si>
  <si>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</si>
  <si>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</si>
  <si>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</si>
  <si>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</si>
  <si>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</si>
  <si>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</si>
  <si>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</si>
  <si>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</si>
  <si>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</si>
  <si>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</si>
  <si>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</si>
  <si>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</si>
  <si>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</si>
  <si>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</si>
  <si>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</si>
  <si>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</si>
  <si>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</si>
  <si>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</si>
  <si>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</si>
  <si>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</si>
  <si>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</si>
  <si>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</si>
  <si>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</si>
  <si>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</si>
  <si>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</si>
  <si>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</si>
  <si>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</si>
  <si>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</si>
  <si>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</si>
  <si>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</si>
  <si>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</si>
  <si>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</si>
  <si>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</si>
  <si>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</si>
  <si>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</si>
  <si>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</si>
  <si>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</si>
  <si>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</si>
  <si>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</si>
  <si>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</si>
  <si>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</si>
  <si>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</si>
  <si>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</si>
  <si>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</si>
  <si>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</si>
  <si>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</si>
  <si>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</si>
  <si>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</si>
  <si>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</si>
  <si>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</si>
  <si>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</si>
  <si>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</si>
  <si>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</si>
  <si>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</si>
  <si>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</si>
  <si>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</si>
  <si>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</si>
  <si>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</si>
  <si>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</si>
  <si>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</si>
  <si>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</si>
  <si>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</si>
  <si>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</si>
  <si>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</si>
  <si>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</si>
  <si>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</si>
  <si>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</si>
  <si>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</si>
  <si>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</si>
  <si>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</si>
  <si>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</si>
  <si>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</si>
  <si>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</si>
  <si>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</si>
  <si>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</si>
  <si>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</si>
  <si>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</si>
  <si>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</si>
  <si>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</si>
  <si>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</si>
  <si>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</si>
  <si>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</si>
  <si>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</si>
  <si>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</si>
  <si>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</si>
  <si>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</si>
  <si>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</si>
  <si>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</si>
  <si>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</si>
  <si>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</si>
  <si>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</si>
  <si>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</si>
  <si>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</si>
  <si>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</si>
  <si>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</si>
  <si>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</si>
  <si>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</si>
  <si>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</si>
  <si>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</si>
  <si>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</si>
  <si>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</si>
  <si>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</si>
  <si>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</si>
  <si>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</si>
  <si>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</si>
  <si>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</si>
  <si>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</si>
  <si>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</si>
  <si>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</si>
  <si>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</si>
  <si>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</si>
  <si>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</si>
  <si>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</si>
  <si>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</si>
  <si>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</si>
  <si>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</si>
  <si>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</si>
  <si>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</si>
  <si>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</si>
  <si>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</si>
  <si>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</si>
  <si>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</si>
  <si>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</si>
  <si>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</si>
  <si>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</si>
  <si>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</si>
  <si>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</si>
  <si>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</si>
  <si>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</si>
  <si>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</si>
  <si>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</si>
  <si>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</si>
  <si>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</si>
  <si>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</si>
  <si>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</si>
  <si>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</si>
  <si>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</si>
  <si>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</si>
  <si>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</si>
  <si>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</si>
  <si>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</si>
  <si>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</si>
  <si>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</si>
  <si>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</si>
  <si>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</si>
  <si>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</si>
  <si>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</si>
  <si>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</si>
  <si>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</si>
  <si>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</si>
  <si>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</si>
  <si>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</si>
  <si>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</si>
  <si>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</si>
  <si>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</si>
  <si>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</si>
  <si>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</si>
  <si>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</si>
  <si>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</si>
  <si>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</si>
  <si>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</si>
  <si>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</si>
  <si>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</si>
  <si>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</si>
  <si>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</si>
  <si>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</si>
  <si>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</si>
  <si>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</si>
  <si>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</si>
  <si>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</si>
  <si>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</si>
  <si>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</si>
  <si>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</si>
  <si>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</si>
  <si>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</si>
  <si>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</si>
  <si>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</si>
  <si>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</si>
  <si>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</si>
  <si>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</si>
  <si>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</si>
  <si>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</si>
  <si>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</si>
  <si>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</si>
  <si>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</si>
  <si>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</si>
  <si>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</si>
  <si>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</si>
  <si>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</si>
  <si>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</si>
  <si>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</si>
  <si>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</si>
  <si>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</si>
  <si>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</si>
  <si>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</si>
  <si>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</si>
  <si>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</si>
  <si>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</si>
  <si>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</si>
  <si>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</si>
  <si>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</si>
  <si>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</si>
  <si>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</si>
  <si>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</si>
  <si>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</si>
  <si>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</si>
  <si>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</si>
  <si>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</si>
  <si>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</si>
  <si>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</si>
  <si>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</si>
  <si>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</si>
  <si>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</si>
  <si>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</si>
  <si>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</si>
  <si>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</si>
  <si>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</si>
  <si>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</si>
  <si>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</si>
  <si>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</si>
  <si>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</si>
  <si>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</si>
  <si>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</si>
  <si>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</si>
  <si>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</si>
  <si>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</si>
  <si>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</si>
  <si>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</si>
  <si>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</si>
  <si>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</si>
  <si>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</si>
  <si>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</si>
  <si>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</si>
  <si>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</si>
  <si>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</si>
  <si>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</si>
  <si>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</si>
  <si>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</si>
  <si>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</si>
  <si>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</si>
  <si>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</si>
  <si>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</si>
  <si>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</si>
  <si>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</si>
  <si>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</si>
  <si>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</si>
  <si>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</si>
  <si>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</si>
  <si>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</si>
  <si>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</si>
  <si>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</si>
  <si>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</si>
  <si>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</si>
  <si>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</si>
  <si>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</si>
  <si>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</si>
  <si>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</si>
  <si>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</si>
  <si>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</si>
  <si>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</si>
  <si>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</si>
  <si>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</si>
  <si>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</si>
  <si>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</si>
  <si>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</si>
  <si>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</si>
  <si>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</si>
  <si>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</si>
  <si>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</si>
  <si>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</si>
  <si>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</si>
  <si>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</si>
  <si>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</si>
  <si>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</si>
  <si>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</si>
  <si>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</si>
  <si>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</si>
  <si>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</si>
  <si>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</si>
  <si>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</si>
  <si>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</si>
  <si>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</si>
  <si>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</si>
  <si>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</si>
  <si>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</si>
  <si>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</si>
  <si>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</si>
  <si>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</si>
  <si>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</si>
  <si>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</si>
  <si>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</si>
  <si>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</si>
  <si>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</si>
  <si>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</si>
  <si>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</si>
  <si>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</si>
  <si>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</si>
  <si>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</si>
  <si>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</si>
  <si>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</si>
  <si>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</si>
  <si>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</si>
  <si>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</si>
  <si>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</si>
  <si>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</si>
  <si>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</si>
  <si>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</si>
  <si>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</si>
  <si>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</si>
  <si>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</si>
  <si>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</si>
  <si>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</si>
  <si>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</si>
  <si>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</si>
  <si>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</si>
  <si>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</si>
  <si>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</si>
  <si>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</si>
  <si>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</si>
  <si>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</si>
  <si>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</si>
  <si>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</si>
  <si>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</si>
  <si>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</si>
  <si>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</si>
  <si>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</si>
  <si>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</si>
  <si>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</si>
  <si>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</si>
  <si>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</si>
  <si>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</si>
  <si>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</si>
  <si>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</si>
  <si>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</si>
  <si>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</si>
  <si>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</si>
  <si>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</si>
  <si>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</si>
  <si>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</si>
  <si>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</si>
  <si>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</si>
  <si>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</si>
  <si>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</si>
  <si>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</si>
  <si>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</si>
  <si>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</si>
  <si>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</si>
  <si>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</si>
  <si>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</si>
  <si>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</si>
  <si>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</si>
  <si>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</si>
  <si>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</si>
  <si>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</si>
  <si>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</si>
  <si>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</si>
  <si>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</si>
  <si>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</si>
  <si>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</si>
  <si>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</si>
  <si>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</si>
  <si>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</si>
  <si>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</si>
  <si>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</si>
  <si>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</si>
  <si>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</si>
  <si>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</si>
  <si>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</si>
  <si>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</si>
  <si>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</si>
  <si>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</si>
  <si>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</si>
  <si>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</si>
  <si>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</si>
  <si>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</si>
  <si>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</si>
  <si>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</si>
  <si>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</si>
  <si>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</si>
  <si>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</si>
  <si>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</si>
  <si>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</si>
  <si>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</si>
  <si>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</si>
  <si>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</si>
  <si>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</si>
  <si>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</si>
  <si>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</si>
  <si>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</si>
  <si>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</si>
  <si>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</si>
  <si>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</si>
  <si>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</si>
  <si>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</si>
  <si>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</si>
  <si>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</si>
  <si>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</si>
  <si>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</si>
  <si>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</si>
  <si>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</si>
  <si>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</si>
  <si>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</si>
  <si>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</si>
  <si>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</si>
  <si>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</si>
  <si>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</si>
  <si>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</si>
  <si>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</si>
  <si>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</si>
  <si>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</si>
  <si>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</si>
  <si>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</si>
  <si>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</si>
  <si>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</si>
  <si>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</si>
  <si>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</si>
  <si>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</si>
  <si>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</si>
  <si>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</si>
  <si>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</si>
  <si>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</si>
  <si>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</si>
  <si>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</si>
  <si>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</si>
  <si>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</si>
  <si>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</si>
  <si>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</si>
  <si>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</si>
  <si>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</si>
  <si>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</si>
  <si>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</si>
  <si>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</si>
  <si>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</si>
  <si>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</si>
  <si>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</si>
  <si>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</si>
  <si>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</si>
  <si>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</si>
  <si>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</si>
  <si>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</si>
  <si>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</si>
  <si>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</si>
  <si>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</si>
  <si>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</si>
  <si>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</si>
  <si>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</si>
  <si>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</si>
  <si>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</si>
  <si>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</si>
  <si>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</si>
  <si>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</si>
  <si>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</si>
  <si>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</si>
  <si>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</si>
  <si>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</si>
  <si>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</si>
  <si>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</si>
  <si>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</si>
  <si>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</si>
  <si>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</si>
  <si>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</si>
  <si>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A. Corbarieu</t>
  </si>
  <si>
    <t xml:space="preserve">conforme AFNOR T90-395 oct. 2003</t>
  </si>
  <si>
    <t xml:space="preserve">GARDON D'ALES</t>
  </si>
  <si>
    <t xml:space="preserve">St Hilaire de Brethmas</t>
  </si>
  <si>
    <t xml:space="preserve">06128000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</si>
  <si>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</si>
  <si>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</si>
  <si>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</si>
  <si>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</si>
  <si>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</si>
  <si>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</si>
  <si>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</si>
  <si>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</si>
  <si>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</si>
  <si>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</si>
  <si>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</si>
  <si>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très élevé</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</si>
  <si>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</si>
  <si>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</si>
  <si>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</si>
  <si>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</si>
  <si>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</si>
  <si>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</si>
  <si>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</si>
  <si>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</si>
  <si>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</si>
  <si>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</si>
  <si>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très abondant</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</si>
  <si>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</si>
  <si>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</si>
  <si>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</si>
  <si>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</si>
  <si>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</si>
  <si>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</si>
  <si>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</si>
  <si>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</si>
  <si>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</si>
  <si>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</si>
  <si>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</si>
  <si>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</si>
  <si>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</si>
  <si>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</si>
  <si>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</si>
  <si>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</si>
  <si>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</si>
  <si>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</si>
  <si>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</si>
  <si>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</si>
  <si>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</si>
  <si>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</si>
  <si>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</si>
  <si>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</si>
  <si>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</si>
  <si>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</si>
  <si>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</si>
  <si>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</si>
  <si>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(12,0046 %)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</si>
  <si>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</si>
  <si>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</si>
  <si>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</si>
  <si>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</si>
  <si>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</si>
  <si>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</si>
  <si>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</si>
  <si>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</si>
  <si>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</si>
  <si>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</si>
  <si>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</si>
  <si>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</si>
  <si>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</si>
  <si>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</si>
  <si>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</si>
  <si>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</si>
  <si>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</si>
  <si>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</si>
  <si>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NEWCOD</t>
  </si>
  <si>
    <t xml:space="preserve">Bidens frondosa</t>
  </si>
  <si>
    <t xml:space="preserve">Paspalum distichum</t>
  </si>
  <si>
    <t xml:space="preserve">Rorippa sylvestris</t>
  </si>
  <si>
    <t xml:space="preserve">Digitaria sanguinalis</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</si>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</sst>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6" borderId="65" xfId="0" applyFont="true" applyBorder="true" applyAlignment="true" applyProtection="true">
      <alignment horizontal="right" vertical="top" textRotation="0" wrapText="false" indent="0" shrinkToFit="false"/>
      <protection locked="true" hidden="true"/>
    </xf>
    <xf numFmtId="172" fontId="27" fillId="6"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6" borderId="69" xfId="0" applyFont="true" applyBorder="true" applyAlignment="true" applyProtection="true">
      <alignment horizontal="left" vertical="bottom" textRotation="0" wrapText="false" indent="0" shrinkToFit="false"/>
      <protection locked="true" hidden="true"/>
    </xf>
    <xf numFmtId="164" fontId="26" fillId="6"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M4" activeCellId="0" sqref="M4"/>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41512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7.95652173913044</v>
      </c>
      <c r="M5" s="323"/>
      <c r="N5" s="324" t="s">
        <v>160</v>
      </c>
      <c r="O5" s="325" t="n">
        <v>7.65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54</v>
      </c>
      <c r="C7" s="337" t="n">
        <v>46</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6.71428571428571</v>
      </c>
      <c r="O8" s="354" t="n">
        <f aca="false">IF(ISERROR(AVERAGE(J23:J82)),"      -",AVERAGE(J23:J82))</f>
        <v>1</v>
      </c>
      <c r="P8" s="355"/>
      <c r="Q8" s="280"/>
      <c r="R8" s="280"/>
      <c r="S8" s="280"/>
      <c r="T8" s="280"/>
      <c r="U8" s="280"/>
      <c r="V8" s="280"/>
      <c r="W8" s="292"/>
      <c r="X8" s="293"/>
    </row>
    <row r="9" customFormat="false" ht="13.5" hidden="false" customHeight="false" outlineLevel="0" collapsed="false">
      <c r="A9" s="313" t="s">
        <v>2635</v>
      </c>
      <c r="B9" s="356" t="n">
        <v>20</v>
      </c>
      <c r="C9" s="357" t="n">
        <v>2.5</v>
      </c>
      <c r="D9" s="358"/>
      <c r="E9" s="358"/>
      <c r="F9" s="359" t="n">
        <f aca="false">($B9*$B$7+$C9*$C$7)/100</f>
        <v>11.95</v>
      </c>
      <c r="G9" s="360"/>
      <c r="H9" s="361"/>
      <c r="I9" s="362"/>
      <c r="J9" s="363"/>
      <c r="K9" s="343"/>
      <c r="L9" s="364"/>
      <c r="M9" s="353" t="s">
        <v>2636</v>
      </c>
      <c r="N9" s="354" t="n">
        <f aca="false">IF(ISERROR(STDEVP(I23:I82)),"     -",STDEVP(I23:I82))</f>
        <v>4.19912527334259</v>
      </c>
      <c r="O9" s="354" t="n">
        <f aca="false">IF(ISERROR(STDEVP(J23:J82)),"      -",STDEVP(J23:J82))</f>
        <v>0.654653670707977</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12</v>
      </c>
      <c r="O11" s="376" t="n">
        <f aca="false">MAX(J23:J82)</f>
        <v>2</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1</v>
      </c>
      <c r="L13" s="386"/>
      <c r="M13" s="397" t="s">
        <v>2649</v>
      </c>
      <c r="N13" s="398" t="n">
        <f aca="false">COUNTIF(F23:F82,"&gt;0")</f>
        <v>18</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14</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8</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3</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20.05</v>
      </c>
      <c r="C20" s="436" t="n">
        <f aca="false">SUM(C23:C82)</f>
        <v>2.56</v>
      </c>
      <c r="D20" s="437"/>
      <c r="E20" s="438" t="s">
        <v>2661</v>
      </c>
      <c r="F20" s="439" t="n">
        <f aca="false">($B20*$B$7+$C20*$C$7)/100</f>
        <v>12.0046</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10.827</v>
      </c>
      <c r="C21" s="449" t="n">
        <f aca="false">C20*C7/100</f>
        <v>1.1776</v>
      </c>
      <c r="D21" s="381" t="str">
        <f aca="false">IF(F21=0,"",IF((ABS(F21-F19))&gt;(0.2*F21),CONCATENATE(" rec. par taxa (",F21," %) supérieur à 20 % !"),""))</f>
        <v> rec. par taxa (12,0046 %) supérieur à 20 % !</v>
      </c>
      <c r="E21" s="450" t="str">
        <f aca="false">IF(F21=0,"",IF((ABS(F21-F19))&gt;(0.2*F21),CONCATENATE("ATTENTION : écart entre rec. par grp (",F19," %) ","et",""),""))</f>
        <v>ATTENTION : écart entre rec. par grp (0 %) et</v>
      </c>
      <c r="F21" s="451" t="n">
        <f aca="false">B21+C21</f>
        <v>12.0046</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10.5</v>
      </c>
      <c r="C23" s="476" t="n">
        <v>1</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6.13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6.13</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130</v>
      </c>
      <c r="B24" s="494" t="n">
        <v>0.005</v>
      </c>
      <c r="C24" s="495"/>
      <c r="D24" s="477" t="str">
        <f aca="false">IF(ISERROR(VLOOKUP($A24,'liste reference'!$A$7:$D$904,2,0)),IF(ISERROR(VLOOKUP($A24,'liste reference'!$B$7:$D$904,1,0)),"",VLOOKUP($A24,'liste reference'!$B$7:$D$904,1,0)),VLOOKUP($A24,'liste reference'!$A$7:$D$904,2,0))</f>
        <v>Diatoma sp.</v>
      </c>
      <c r="E24" s="496" t="e">
        <f aca="false">IF(D24="",0,VLOOKUP(D24,D$22:D23,1,0))</f>
        <v>#N/A</v>
      </c>
      <c r="F24" s="497" t="n">
        <f aca="false">($B24*$B$7+$C24*$C$7)/100</f>
        <v>0.0027</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12</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6627</v>
      </c>
      <c r="Q24" s="486" t="n">
        <f aca="false">IF(ISTEXT(H24),"",(B24*$B$7/100)+(C24*$C$7/100))</f>
        <v>0.0027</v>
      </c>
      <c r="R24" s="487" t="n">
        <f aca="false">IF(OR(ISTEXT(H24),Q24=0),"",IF(Q24&lt;0.1,1,IF(Q24&lt;1,2,IF(Q24&lt;10,3,IF(Q24&lt;50,4,IF(Q24&gt;=50,5,""))))))</f>
        <v>1</v>
      </c>
      <c r="S24" s="487" t="n">
        <f aca="false">IF(ISERROR(R24*I24),0,R24*I24)</f>
        <v>12</v>
      </c>
      <c r="T24" s="487" t="n">
        <f aca="false">IF(ISERROR(R24*I24*J24),0,R24*I24*J24)</f>
        <v>24</v>
      </c>
      <c r="U24" s="499" t="n">
        <f aca="false">IF(ISERROR(R24*J24),0,R24*J24)</f>
        <v>2</v>
      </c>
      <c r="V24" s="488" t="str">
        <f aca="false">IF(AND(A24="",F24=0),"",IF(F24=0,"Il manque le(s) % de rec. !",""))</f>
        <v/>
      </c>
      <c r="W24" s="489"/>
      <c r="Y24" s="490" t="str">
        <f aca="false">IF(A24="new.cod","NEWCOD",IF(AND((Z24=""),ISTEXT(A24)),A24,IF(Z24="","",INDEX('liste reference'!$A$8:$A$904,Z24))))</f>
        <v>DIASPX</v>
      </c>
      <c r="Z24" s="280" t="n">
        <f aca="false">IF(ISERROR(MATCH(A24,'liste reference'!$A$8:$A$904,0)),IF(ISERROR(MATCH(A24,'liste reference'!$B$8:$B$904,0)),"",(MATCH(A24,'liste reference'!$B$8:$B$904,0))),(MATCH(A24,'liste reference'!$A$8:$A$904,0)))</f>
        <v>26</v>
      </c>
      <c r="AA24" s="491"/>
      <c r="AB24" s="492"/>
      <c r="AC24" s="492"/>
      <c r="BB24" s="280" t="n">
        <f aca="false">IF(A24="","",1)</f>
        <v>1</v>
      </c>
    </row>
    <row r="25" customFormat="false" ht="12.75" hidden="false" customHeight="false" outlineLevel="0" collapsed="false">
      <c r="A25" s="493" t="s">
        <v>160</v>
      </c>
      <c r="B25" s="494" t="n">
        <v>6</v>
      </c>
      <c r="C25" s="495" t="n">
        <v>1</v>
      </c>
      <c r="D25" s="477" t="str">
        <f aca="false">IF(ISERROR(VLOOKUP($A25,'liste reference'!$A$7:$D$904,2,0)),IF(ISERROR(VLOOKUP($A25,'liste reference'!$B$7:$D$904,1,0)),"",VLOOKUP($A25,'liste reference'!$B$7:$D$904,1,0)),VLOOKUP($A25,'liste reference'!$A$7:$D$904,2,0))</f>
        <v>Melosira sp.</v>
      </c>
      <c r="E25" s="496" t="e">
        <f aca="false">IF(D25="",0,VLOOKUP(D25,D$22:D24,1,0))</f>
        <v>#N/A</v>
      </c>
      <c r="F25" s="497" t="n">
        <f aca="false">($B25*$B$7+$C25*$C$7)/100</f>
        <v>3.7</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10</v>
      </c>
      <c r="J25" s="481" t="n">
        <f aca="false">IF(ISNUMBER(H25),IF(ISERROR(VLOOKUP($A25,'liste reference'!$A$7:$P$904,4,0)),IF(ISERROR(VLOOKUP($A25,'liste reference'!$B$7:$P$904,3,0)),"",VLOOKUP($A25,'liste reference'!$B$7:$P$904,3,0)),VLOOKUP($A25,'liste reference'!$A$7:$P$904,4,0)),"")</f>
        <v>1</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8714</v>
      </c>
      <c r="Q25" s="486" t="n">
        <f aca="false">IF(ISTEXT(H25),"",(B25*$B$7/100)+(C25*$C$7/100))</f>
        <v>3.7</v>
      </c>
      <c r="R25" s="487" t="n">
        <f aca="false">IF(OR(ISTEXT(H25),Q25=0),"",IF(Q25&lt;0.1,1,IF(Q25&lt;1,2,IF(Q25&lt;10,3,IF(Q25&lt;50,4,IF(Q25&gt;=50,5,""))))))</f>
        <v>3</v>
      </c>
      <c r="S25" s="487" t="n">
        <f aca="false">IF(ISERROR(R25*I25),0,R25*I25)</f>
        <v>30</v>
      </c>
      <c r="T25" s="487" t="n">
        <f aca="false">IF(ISERROR(R25*I25*J25),0,R25*I25*J25)</f>
        <v>30</v>
      </c>
      <c r="U25" s="499" t="n">
        <f aca="false">IF(ISERROR(R25*J25),0,R25*J25)</f>
        <v>3</v>
      </c>
      <c r="V25" s="488" t="str">
        <f aca="false">IF(AND(A25="",F25=0),"",IF(F25=0,"Il manque le(s) % de rec. !",""))</f>
        <v/>
      </c>
      <c r="W25" s="489"/>
      <c r="Y25" s="490" t="str">
        <f aca="false">IF(A25="new.cod","NEWCOD",IF(AND((Z25=""),ISTEXT(A25)),A25,IF(Z25="","",INDEX('liste reference'!$A$8:$A$904,Z25))))</f>
        <v>MELSPX</v>
      </c>
      <c r="Z25" s="280" t="n">
        <f aca="false">IF(ISERROR(MATCH(A25,'liste reference'!$A$8:$A$904,0)),IF(ISERROR(MATCH(A25,'liste reference'!$B$8:$B$904,0)),"",(MATCH(A25,'liste reference'!$B$8:$B$904,0))),(MATCH(A25,'liste reference'!$A$8:$A$904,0)))</f>
        <v>36</v>
      </c>
      <c r="AA25" s="491"/>
      <c r="AB25" s="492"/>
      <c r="AC25" s="492"/>
      <c r="BB25" s="280" t="n">
        <f aca="false">IF(A25="","",1)</f>
        <v>1</v>
      </c>
    </row>
    <row r="26" customFormat="false" ht="12.75" hidden="false" customHeight="false" outlineLevel="0" collapsed="false">
      <c r="A26" s="493" t="s">
        <v>223</v>
      </c>
      <c r="B26" s="494" t="n">
        <v>3</v>
      </c>
      <c r="C26" s="495" t="n">
        <v>0.5</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1.85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1.85</v>
      </c>
      <c r="R26" s="487" t="n">
        <f aca="false">IF(OR(ISTEXT(H26),Q26=0),"",IF(Q26&lt;0.1,1,IF(Q26&lt;1,2,IF(Q26&lt;10,3,IF(Q26&lt;50,4,IF(Q26&gt;=50,5,""))))))</f>
        <v>3</v>
      </c>
      <c r="S26" s="487" t="n">
        <f aca="false">IF(ISERROR(R26*I26),0,R26*I26)</f>
        <v>18</v>
      </c>
      <c r="T26" s="487" t="n">
        <f aca="false">IF(ISERROR(R26*I26*J26),0,R26*I26*J26)</f>
        <v>36</v>
      </c>
      <c r="U26" s="499" t="n">
        <f aca="false">IF(ISERROR(R26*J26),0,R26*J26)</f>
        <v>6</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258</v>
      </c>
      <c r="B27" s="494" t="n">
        <v>0.4</v>
      </c>
      <c r="C27" s="495" t="n">
        <v>0.01</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0.2206</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0.2206</v>
      </c>
      <c r="R27" s="487" t="n">
        <f aca="false">IF(OR(ISTEXT(H27),Q27=0),"",IF(Q27&lt;0.1,1,IF(Q27&lt;1,2,IF(Q27&lt;10,3,IF(Q27&lt;50,4,IF(Q27&gt;=50,5,""))))))</f>
        <v>2</v>
      </c>
      <c r="S27" s="487" t="n">
        <f aca="false">IF(ISERROR(R27*I27),0,R27*I27)</f>
        <v>20</v>
      </c>
      <c r="T27" s="487" t="n">
        <f aca="false">IF(ISERROR(R27*I27*J27),0,R27*I27*J27)</f>
        <v>20</v>
      </c>
      <c r="U27" s="499" t="n">
        <f aca="false">IF(ISERROR(R27*J27),0,R27*J27)</f>
        <v>2</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301</v>
      </c>
      <c r="B28" s="494" t="n">
        <v>0.005</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0.0027</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0.0027</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2.75" hidden="false" customHeight="false" outlineLevel="0" collapsed="false">
      <c r="A29" s="493" t="s">
        <v>645</v>
      </c>
      <c r="B29" s="494" t="n">
        <v>0.005</v>
      </c>
      <c r="C29" s="495"/>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0.0027</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0.0027</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2.75" hidden="false" customHeight="false" outlineLevel="0" collapsed="false">
      <c r="A30" s="493" t="s">
        <v>1153</v>
      </c>
      <c r="B30" s="494" t="n">
        <v>0.01</v>
      </c>
      <c r="C30" s="495"/>
      <c r="D30" s="477" t="str">
        <f aca="false">IF(ISERROR(VLOOKUP($A30,'liste reference'!$A$7:$D$904,2,0)),IF(ISERROR(VLOOKUP($A30,'liste reference'!$B$7:$D$904,1,0)),"",VLOOKUP($A30,'liste reference'!$B$7:$D$904,1,0)),VLOOKUP($A30,'liste reference'!$A$7:$D$904,2,0))</f>
        <v>Equisetum arvense</v>
      </c>
      <c r="E30" s="496" t="e">
        <f aca="false">IF(D30="",0,VLOOKUP(D30,D$22:D29,1,0))</f>
        <v>#N/A</v>
      </c>
      <c r="F30" s="497" t="n">
        <f aca="false">($B30*$B$7+$C30*$C$7)/100</f>
        <v>0.0054</v>
      </c>
      <c r="G30" s="479" t="str">
        <f aca="false">IF(A30="","",IF(ISERROR(VLOOKUP($A30,'liste reference'!$A$7:$P$904,13,0)),IF(ISERROR(VLOOKUP($A30,'liste reference'!$B$7:$P$904,12,0)),"    -",VLOOKUP($A30,'liste reference'!$B$7:$P$904,12,0)),VLOOKUP($A30,'liste reference'!$A$7:$P$904,13,0)))</f>
        <v>PTE</v>
      </c>
      <c r="H30" s="480" t="n">
        <f aca="false">IF(A30="","x",IF(ISERROR(VLOOKUP($A30,'liste reference'!$A$8:$P$904,14,0)),IF(ISERROR(VLOOKUP($A30,'liste reference'!$B$8:$P$904,13,0)),"x",VLOOKUP($A30,'liste reference'!$B$8:$P$904,13,0)),VLOOKUP($A30,'liste reference'!$A$8:$P$904,14,0)))</f>
        <v>6</v>
      </c>
      <c r="I30" s="481" t="n">
        <f aca="false">IF(ISNUMBER(H30),IF(ISERROR(VLOOKUP($A30,'liste reference'!$A$7:$P$904,3,0)),IF(ISERROR(VLOOKUP($A30,'liste reference'!$B$7:$P$904,2,0)),"",VLOOKUP($A30,'liste reference'!$B$7:$P$904,2,0)),VLOOKUP($A30,'liste reference'!$A$7:$P$904,3,0)),"")</f>
        <v>0</v>
      </c>
      <c r="J30" s="481" t="n">
        <f aca="false">IF(ISNUMBER(H30),IF(ISERROR(VLOOKUP($A30,'liste reference'!$A$7:$P$904,4,0)),IF(ISERROR(VLOOKUP($A30,'liste reference'!$B$7:$P$904,3,0)),"",VLOOKUP($A30,'liste reference'!$B$7:$P$904,3,0)),VLOOKUP($A30,'liste reference'!$A$7:$P$904,4,0)),"")</f>
        <v>0</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Equisetum arvense</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1384</v>
      </c>
      <c r="Q30" s="486" t="n">
        <f aca="false">IF(ISTEXT(H30),"",(B30*$B$7/100)+(C30*$C$7/100))</f>
        <v>0.0054</v>
      </c>
      <c r="R30" s="487" t="n">
        <f aca="false">IF(OR(ISTEXT(H30),Q30=0),"",IF(Q30&lt;0.1,1,IF(Q30&lt;1,2,IF(Q30&lt;10,3,IF(Q30&lt;50,4,IF(Q30&gt;=50,5,""))))))</f>
        <v>1</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EQUARV</v>
      </c>
      <c r="Z30" s="280" t="n">
        <f aca="false">IF(ISERROR(MATCH(A30,'liste reference'!$A$8:$A$904,0)),IF(ISERROR(MATCH(A30,'liste reference'!$B$8:$B$904,0)),"",(MATCH(A30,'liste reference'!$B$8:$B$904,0))),(MATCH(A30,'liste reference'!$A$8:$A$904,0)))</f>
        <v>278</v>
      </c>
      <c r="AA30" s="491"/>
      <c r="AB30" s="492"/>
      <c r="AC30" s="492"/>
      <c r="BB30" s="280" t="n">
        <f aca="false">IF(A30="","",1)</f>
        <v>1</v>
      </c>
    </row>
    <row r="31" customFormat="false" ht="12.75" hidden="false" customHeight="false" outlineLevel="0" collapsed="false">
      <c r="A31" s="493" t="s">
        <v>1224</v>
      </c>
      <c r="B31" s="494" t="n">
        <v>0.005</v>
      </c>
      <c r="C31" s="495"/>
      <c r="D31" s="477" t="str">
        <f aca="false">IF(ISERROR(VLOOKUP($A31,'liste reference'!$A$7:$D$904,2,0)),IF(ISERROR(VLOOKUP($A31,'liste reference'!$B$7:$D$904,1,0)),"",VLOOKUP($A31,'liste reference'!$B$7:$D$904,1,0)),VLOOKUP($A31,'liste reference'!$A$7:$D$904,2,0))</f>
        <v>Apium nodiflorum</v>
      </c>
      <c r="E31" s="496" t="e">
        <f aca="false">IF(D31="",0,VLOOKUP(D31,D$22:D30,1,0))</f>
        <v>#N/A</v>
      </c>
      <c r="F31" s="497" t="n">
        <f aca="false">($B31*$B$7+$C31*$C$7)/100</f>
        <v>0.0027</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Apium nodiflorum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1974</v>
      </c>
      <c r="Q31" s="486" t="n">
        <f aca="false">IF(ISTEXT(H31),"",(B31*$B$7/100)+(C31*$C$7/100))</f>
        <v>0.0027</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500"/>
      <c r="Y31" s="490" t="str">
        <f aca="false">IF(A31="new.cod","NEWCOD",IF(AND((Z31=""),ISTEXT(A31)),A31,IF(Z31="","",INDEX('liste reference'!$A$8:$A$904,Z31))))</f>
        <v>APINOD</v>
      </c>
      <c r="Z31" s="280" t="n">
        <f aca="false">IF(ISERROR(MATCH(A31,'liste reference'!$A$8:$A$904,0)),IF(ISERROR(MATCH(A31,'liste reference'!$B$8:$B$904,0)),"",(MATCH(A31,'liste reference'!$B$8:$B$904,0))),(MATCH(A31,'liste reference'!$A$8:$A$904,0)))</f>
        <v>309</v>
      </c>
      <c r="AA31" s="491"/>
      <c r="AB31" s="492"/>
      <c r="AC31" s="492"/>
      <c r="BB31" s="280" t="n">
        <f aca="false">IF(A31="","",1)</f>
        <v>1</v>
      </c>
    </row>
    <row r="32" customFormat="false" ht="12.75" hidden="false" customHeight="false" outlineLevel="0" collapsed="false">
      <c r="A32" s="493" t="s">
        <v>1708</v>
      </c>
      <c r="B32" s="494"/>
      <c r="C32" s="495" t="n">
        <v>0.01</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0.0046</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0.0046</v>
      </c>
      <c r="R32" s="487" t="n">
        <f aca="false">IF(OR(ISTEXT(H32),Q32=0),"",IF(Q32&lt;0.1,1,IF(Q32&lt;1,2,IF(Q32&lt;10,3,IF(Q32&lt;50,4,IF(Q32&gt;=50,5,""))))))</f>
        <v>1</v>
      </c>
      <c r="S32" s="487" t="n">
        <f aca="false">IF(ISERROR(R32*I32),0,R32*I32)</f>
        <v>10</v>
      </c>
      <c r="T32" s="487" t="n">
        <f aca="false">IF(ISERROR(R32*I32*J32),0,R32*I32*J32)</f>
        <v>10</v>
      </c>
      <c r="U32" s="499" t="n">
        <f aca="false">IF(ISERROR(R32*J32),0,R32*J32)</f>
        <v>1</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c r="AB32" s="492"/>
      <c r="AC32" s="492"/>
      <c r="BB32" s="280" t="n">
        <f aca="false">IF(A32="","",1)</f>
        <v>1</v>
      </c>
    </row>
    <row r="33" customFormat="false" ht="12.75" hidden="false" customHeight="false" outlineLevel="0" collapsed="false">
      <c r="A33" s="493" t="s">
        <v>1923</v>
      </c>
      <c r="B33" s="494" t="n">
        <v>0.005</v>
      </c>
      <c r="C33" s="495"/>
      <c r="D33" s="477" t="str">
        <f aca="false">IF(ISERROR(VLOOKUP($A33,'liste reference'!$A$7:$D$904,2,0)),IF(ISERROR(VLOOKUP($A33,'liste reference'!$B$7:$D$904,1,0)),"",VLOOKUP($A33,'liste reference'!$B$7:$D$904,1,0)),VLOOKUP($A33,'liste reference'!$A$7:$D$904,2,0))</f>
        <v>Lysimachia vulgaris</v>
      </c>
      <c r="E33" s="496" t="e">
        <f aca="false">IF(D33="",0,VLOOKUP(D33,D$22:D32,1,0))</f>
        <v>#N/A</v>
      </c>
      <c r="F33" s="497" t="n">
        <f aca="false">($B33*$B$7+$C33*$C$7)/100</f>
        <v>0.0027</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Lysimachia vulgaris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1887</v>
      </c>
      <c r="Q33" s="486" t="n">
        <f aca="false">IF(ISTEXT(H33),"",(B33*$B$7/100)+(C33*$C$7/100))</f>
        <v>0.0027</v>
      </c>
      <c r="R33" s="487" t="n">
        <f aca="false">IF(OR(ISTEXT(H33),Q33=0),"",IF(Q33&lt;0.1,1,IF(Q33&lt;1,2,IF(Q33&lt;10,3,IF(Q33&lt;50,4,IF(Q33&gt;=50,5,""))))))</f>
        <v>1</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LYSVUL</v>
      </c>
      <c r="Z33" s="280" t="n">
        <f aca="false">IF(ISERROR(MATCH(A33,'liste reference'!$A$8:$A$904,0)),IF(ISERROR(MATCH(A33,'liste reference'!$B$8:$B$904,0)),"",(MATCH(A33,'liste reference'!$B$8:$B$904,0))),(MATCH(A33,'liste reference'!$A$8:$A$904,0)))</f>
        <v>601</v>
      </c>
      <c r="AA33" s="491"/>
      <c r="AB33" s="492"/>
      <c r="AC33" s="492"/>
      <c r="BB33" s="280" t="n">
        <f aca="false">IF(A33="","",1)</f>
        <v>1</v>
      </c>
    </row>
    <row r="34" customFormat="false" ht="12.75" hidden="false" customHeight="false" outlineLevel="0" collapsed="false">
      <c r="A34" s="493" t="s">
        <v>1932</v>
      </c>
      <c r="B34" s="494" t="n">
        <v>0.005</v>
      </c>
      <c r="C34" s="495"/>
      <c r="D34" s="477" t="str">
        <f aca="false">IF(ISERROR(VLOOKUP($A34,'liste reference'!$A$7:$D$904,2,0)),IF(ISERROR(VLOOKUP($A34,'liste reference'!$B$7:$D$904,1,0)),"",VLOOKUP($A34,'liste reference'!$B$7:$D$904,1,0)),VLOOKUP($A34,'liste reference'!$A$7:$D$904,2,0))</f>
        <v>Lythrum salicaria</v>
      </c>
      <c r="E34" s="496" t="e">
        <f aca="false">IF(D34="",0,VLOOKUP(D34,D$22:D33,1,0))</f>
        <v>#N/A</v>
      </c>
      <c r="F34" s="501" t="n">
        <f aca="false">($B34*$B$7+$C34*$C$7)/100</f>
        <v>0.0027</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0.0027</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2.75" hidden="false" customHeight="false" outlineLevel="0" collapsed="false">
      <c r="A35" s="493" t="s">
        <v>1984</v>
      </c>
      <c r="B35" s="494"/>
      <c r="C35" s="495" t="n">
        <v>0.005</v>
      </c>
      <c r="D35" s="477" t="str">
        <f aca="false">IF(ISERROR(VLOOKUP($A35,'liste reference'!$A$7:$D$904,2,0)),IF(ISERROR(VLOOKUP($A35,'liste reference'!$B$7:$D$904,1,0)),"",VLOOKUP($A35,'liste reference'!$B$7:$D$904,1,0)),VLOOKUP($A35,'liste reference'!$A$7:$D$904,2,0))</f>
        <v>Nasturtium officinale</v>
      </c>
      <c r="E35" s="496" t="e">
        <f aca="false">IF(D35="",0,VLOOKUP(D35,D$22:D34,1,0))</f>
        <v>#N/A</v>
      </c>
      <c r="F35" s="501" t="n">
        <f aca="false">($B35*$B$7+$C35*$C$7)/100</f>
        <v>0.0023</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11</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Nasturtium officinale</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1763</v>
      </c>
      <c r="Q35" s="486" t="n">
        <f aca="false">IF(ISTEXT(H35),"",(B35*$B$7/100)+(C35*$C$7/100))</f>
        <v>0.0023</v>
      </c>
      <c r="R35" s="487" t="n">
        <f aca="false">IF(OR(ISTEXT(H35),Q35=0),"",IF(Q35&lt;0.1,1,IF(Q35&lt;1,2,IF(Q35&lt;10,3,IF(Q35&lt;50,4,IF(Q35&gt;=50,5,""))))))</f>
        <v>1</v>
      </c>
      <c r="S35" s="487" t="n">
        <f aca="false">IF(ISERROR(R35*I35),0,R35*I35)</f>
        <v>11</v>
      </c>
      <c r="T35" s="487" t="n">
        <f aca="false">IF(ISERROR(R35*I35*J35),0,R35*I35*J35)</f>
        <v>11</v>
      </c>
      <c r="U35" s="499" t="n">
        <f aca="false">IF(ISERROR(R35*J35),0,R35*J35)</f>
        <v>1</v>
      </c>
      <c r="V35" s="488" t="str">
        <f aca="false">IF(AND(A35="",F35=0),"",IF(F35=0,"Il manque le(s) % de rec. !",""))</f>
        <v/>
      </c>
      <c r="W35" s="489"/>
      <c r="Y35" s="490" t="str">
        <f aca="false">IF(A35="new.cod","NEWCOD",IF(AND((Z35=""),ISTEXT(A35)),A35,IF(Z35="","",INDEX('liste reference'!$A$8:$A$904,Z35))))</f>
        <v>NASOFF</v>
      </c>
      <c r="Z35" s="280" t="n">
        <f aca="false">IF(ISERROR(MATCH(A35,'liste reference'!$A$8:$A$904,0)),IF(ISERROR(MATCH(A35,'liste reference'!$B$8:$B$904,0)),"",(MATCH(A35,'liste reference'!$B$8:$B$904,0))),(MATCH(A35,'liste reference'!$A$8:$A$904,0)))</f>
        <v>628</v>
      </c>
      <c r="AA35" s="491"/>
      <c r="AB35" s="492"/>
      <c r="AC35" s="492"/>
      <c r="BB35" s="280" t="n">
        <f aca="false">IF(A35="","",1)</f>
        <v>1</v>
      </c>
    </row>
    <row r="36" customFormat="false" ht="12.75" hidden="false" customHeight="false" outlineLevel="0" collapsed="false">
      <c r="A36" s="493" t="s">
        <v>2000</v>
      </c>
      <c r="B36" s="494"/>
      <c r="C36" s="495" t="n">
        <v>0.01</v>
      </c>
      <c r="D36" s="477" t="str">
        <f aca="false">IF(ISERROR(VLOOKUP($A36,'liste reference'!$A$7:$D$904,2,0)),IF(ISERROR(VLOOKUP($A36,'liste reference'!$B$7:$D$904,1,0)),"",VLOOKUP($A36,'liste reference'!$B$7:$D$904,1,0)),VLOOKUP($A36,'liste reference'!$A$7:$D$904,2,0))</f>
        <v>Phalaris arundinacea</v>
      </c>
      <c r="E36" s="496" t="e">
        <f aca="false">IF(D36="",0,VLOOKUP(D36,D$22:D35,1,0))</f>
        <v>#N/A</v>
      </c>
      <c r="F36" s="501" t="n">
        <f aca="false">($B36*$B$7+$C36*$C$7)/100</f>
        <v>0.0046</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Phalaris arundinacea</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1577</v>
      </c>
      <c r="Q36" s="486" t="n">
        <f aca="false">IF(ISTEXT(H36),"",(B36*$B$7/100)+(C36*$C$7/100))</f>
        <v>0.0046</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PHAARU</v>
      </c>
      <c r="Z36" s="280" t="n">
        <f aca="false">IF(ISERROR(MATCH(A36,'liste reference'!$A$8:$A$904,0)),IF(ISERROR(MATCH(A36,'liste reference'!$B$8:$B$904,0)),"",(MATCH(A36,'liste reference'!$B$8:$B$904,0))),(MATCH(A36,'liste reference'!$A$8:$A$904,0)))</f>
        <v>634</v>
      </c>
      <c r="AA36" s="491"/>
      <c r="AB36" s="492"/>
      <c r="AC36" s="492"/>
      <c r="BB36" s="280" t="n">
        <f aca="false">IF(A36="","",1)</f>
        <v>1</v>
      </c>
    </row>
    <row r="37" customFormat="false" ht="12.75" hidden="false" customHeight="false" outlineLevel="0" collapsed="false">
      <c r="A37" s="493" t="s">
        <v>2686</v>
      </c>
      <c r="B37" s="494" t="n">
        <v>0.01</v>
      </c>
      <c r="C37" s="495" t="n">
        <v>0.01</v>
      </c>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0.01</v>
      </c>
      <c r="G37" s="479" t="str">
        <f aca="false">IF(A37="","",IF(ISERROR(VLOOKUP($A37,'liste reference'!$A$7:$P$904,13,0)),IF(ISERROR(VLOOKUP($A37,'liste reference'!$B$7:$P$904,12,0)),"    -",VLOOKUP($A37,'liste reference'!$B$7:$P$904,12,0)),VLOOKUP($A37,'liste reference'!$A$7:$P$904,13,0)))</f>
        <v>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Bidens frondosa</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No</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X37" s="489"/>
      <c r="Y37" s="490" t="str">
        <f aca="false">IF(A37="new.cod","NEWCOD",IF(AND((Z37=""),ISTEXT(A37)),A37,IF(Z37="","",INDEX('liste reference'!$A$8:$A$904,Z37))))</f>
        <v>NEWCOD</v>
      </c>
      <c r="Z37" s="280" t="str">
        <f aca="false">IF(ISERROR(MATCH(A37,'liste reference'!$A$8:$A$904,0)),IF(ISERROR(MATCH(A37,'liste reference'!$B$8:$B$904,0)),"",(MATCH(A37,'liste reference'!$B$8:$B$904,0))),(MATCH(A37,'liste reference'!$A$8:$A$904,0)))</f>
        <v/>
      </c>
      <c r="AA37" s="491"/>
      <c r="AB37" s="492" t="s">
        <v>2687</v>
      </c>
      <c r="AC37" s="492"/>
      <c r="BB37" s="280" t="n">
        <f aca="false">IF(A37="","",1)</f>
        <v>1</v>
      </c>
    </row>
    <row r="38" customFormat="false" ht="12.75" hidden="false" customHeight="false" outlineLevel="0" collapsed="false">
      <c r="A38" s="493" t="s">
        <v>2686</v>
      </c>
      <c r="B38" s="494" t="n">
        <v>0.05</v>
      </c>
      <c r="C38" s="495" t="n">
        <v>0.005</v>
      </c>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0.0293</v>
      </c>
      <c r="G38" s="479" t="str">
        <f aca="false">IF(A38="","",IF(ISERROR(VLOOKUP($A38,'liste reference'!$A$7:$P$904,13,0)),IF(ISERROR(VLOOKUP($A38,'liste reference'!$B$7:$P$904,12,0)),"    -",VLOOKUP($A38,'liste reference'!$B$7:$P$904,12,0)),VLOOKUP($A38,'liste reference'!$A$7:$P$904,13,0)))</f>
        <v>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Paspalum distichum</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No</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NEWCOD</v>
      </c>
      <c r="Z38" s="280" t="str">
        <f aca="false">IF(ISERROR(MATCH(A38,'liste reference'!$A$8:$A$904,0)),IF(ISERROR(MATCH(A38,'liste reference'!$B$8:$B$904,0)),"",(MATCH(A38,'liste reference'!$B$8:$B$904,0))),(MATCH(A38,'liste reference'!$A$8:$A$904,0)))</f>
        <v/>
      </c>
      <c r="AA38" s="491"/>
      <c r="AB38" s="492" t="s">
        <v>2688</v>
      </c>
      <c r="AC38" s="492"/>
      <c r="BB38" s="280" t="n">
        <f aca="false">IF(A38="","",1)</f>
        <v>1</v>
      </c>
    </row>
    <row r="39" customFormat="false" ht="12.75" hidden="false" customHeight="false" outlineLevel="0" collapsed="false">
      <c r="A39" s="493" t="s">
        <v>2686</v>
      </c>
      <c r="B39" s="494" t="n">
        <v>0.05</v>
      </c>
      <c r="C39" s="495" t="n">
        <v>0.005</v>
      </c>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0.0293</v>
      </c>
      <c r="G39" s="479" t="str">
        <f aca="false">IF(A39="","",IF(ISERROR(VLOOKUP($A39,'liste reference'!$A$7:$P$904,13,0)),IF(ISERROR(VLOOKUP($A39,'liste reference'!$B$7:$P$904,12,0)),"    -",VLOOKUP($A39,'liste reference'!$B$7:$P$904,12,0)),VLOOKUP($A39,'liste reference'!$A$7:$P$904,13,0)))</f>
        <v>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Rorippa sylvestris</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No</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NEWCOD</v>
      </c>
      <c r="Z39" s="280" t="str">
        <f aca="false">IF(ISERROR(MATCH(A39,'liste reference'!$A$8:$A$904,0)),IF(ISERROR(MATCH(A39,'liste reference'!$B$8:$B$904,0)),"",(MATCH(A39,'liste reference'!$B$8:$B$904,0))),(MATCH(A39,'liste reference'!$A$8:$A$904,0)))</f>
        <v/>
      </c>
      <c r="AA39" s="491"/>
      <c r="AB39" s="492" t="s">
        <v>2689</v>
      </c>
      <c r="AC39" s="492"/>
      <c r="BB39" s="280" t="n">
        <f aca="false">IF(A39="","",1)</f>
        <v>1</v>
      </c>
    </row>
    <row r="40" customFormat="false" ht="12.75" hidden="false" customHeight="false" outlineLevel="0" collapsed="false">
      <c r="A40" s="493" t="s">
        <v>2686</v>
      </c>
      <c r="B40" s="494"/>
      <c r="C40" s="495" t="n">
        <v>0.005</v>
      </c>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0.0023</v>
      </c>
      <c r="G40" s="479" t="str">
        <f aca="false">IF(A40="","",IF(ISERROR(VLOOKUP($A40,'liste reference'!$A$7:$P$904,13,0)),IF(ISERROR(VLOOKUP($A40,'liste reference'!$B$7:$P$904,12,0)),"    -",VLOOKUP($A40,'liste reference'!$B$7:$P$904,12,0)),VLOOKUP($A40,'liste reference'!$A$7:$P$904,13,0)))</f>
        <v>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Digitaria sanguinalis</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No</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NEWCOD</v>
      </c>
      <c r="Z40" s="280" t="str">
        <f aca="false">IF(ISERROR(MATCH(A40,'liste reference'!$A$8:$A$904,0)),IF(ISERROR(MATCH(A40,'liste reference'!$B$8:$B$904,0)),"",(MATCH(A40,'liste reference'!$B$8:$B$904,0))),(MATCH(A40,'liste reference'!$A$8:$A$904,0)))</f>
        <v/>
      </c>
      <c r="AA40" s="491"/>
      <c r="AB40" s="492" t="s">
        <v>2690</v>
      </c>
      <c r="AC40" s="492"/>
      <c r="BB40" s="280" t="n">
        <f aca="false">IF(A40="","",1)</f>
        <v>1</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GARDON D'ALES</v>
      </c>
      <c r="B84" s="529" t="str">
        <f aca="false">C3</f>
        <v>St Hilaire de Brethmas</v>
      </c>
      <c r="C84" s="530" t="n">
        <f aca="false">A4</f>
        <v>41512</v>
      </c>
      <c r="D84" s="531" t="n">
        <f aca="false">IF(ISERROR(SUM($T$23:$T$82)/SUM($U$23:$U$82)),"",SUM($T$23:$T$82)/SUM($U$23:$U$82))</f>
        <v>7.95652173913044</v>
      </c>
      <c r="E84" s="532" t="n">
        <f aca="false">N13</f>
        <v>18</v>
      </c>
      <c r="F84" s="529" t="n">
        <f aca="false">N14</f>
        <v>14</v>
      </c>
      <c r="G84" s="529" t="n">
        <f aca="false">N15</f>
        <v>8</v>
      </c>
      <c r="H84" s="529" t="n">
        <f aca="false">N16</f>
        <v>3</v>
      </c>
      <c r="I84" s="529" t="n">
        <f aca="false">N17</f>
        <v>0</v>
      </c>
      <c r="J84" s="533" t="n">
        <f aca="false">N8</f>
        <v>6.71428571428571</v>
      </c>
      <c r="K84" s="531" t="n">
        <f aca="false">N9</f>
        <v>4.19912527334259</v>
      </c>
      <c r="L84" s="532" t="n">
        <f aca="false">N10</f>
        <v>0</v>
      </c>
      <c r="M84" s="532" t="n">
        <f aca="false">N11</f>
        <v>12</v>
      </c>
      <c r="N84" s="531" t="n">
        <f aca="false">O8</f>
        <v>1</v>
      </c>
      <c r="O84" s="531" t="n">
        <f aca="false">O9</f>
        <v>0.654653670707977</v>
      </c>
      <c r="P84" s="532" t="n">
        <f aca="false">O10</f>
        <v>0</v>
      </c>
      <c r="Q84" s="532" t="n">
        <f aca="false">O11</f>
        <v>2</v>
      </c>
      <c r="R84" s="532" t="n">
        <f aca="false">F21</f>
        <v>12.0046</v>
      </c>
      <c r="S84" s="532" t="n">
        <f aca="false">K11</f>
        <v>0</v>
      </c>
      <c r="T84" s="532" t="n">
        <f aca="false">K12</f>
        <v>6</v>
      </c>
      <c r="U84" s="532" t="n">
        <f aca="false">K13</f>
        <v>1</v>
      </c>
      <c r="V84" s="534" t="n">
        <f aca="false">K14</f>
        <v>1</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30</v>
      </c>
      <c r="T87" s="280"/>
      <c r="U87" s="280"/>
      <c r="V87" s="280"/>
    </row>
    <row r="88" customFormat="false" ht="12.75" hidden="true" customHeight="false" outlineLevel="0" collapsed="false">
      <c r="P88" s="280"/>
      <c r="Q88" s="280" t="s">
        <v>2694</v>
      </c>
      <c r="R88" s="280"/>
      <c r="S88" s="488" t="n">
        <f aca="false">VLOOKUP((S87),($S$23:$U$82),2,0)</f>
        <v>30</v>
      </c>
      <c r="T88" s="280"/>
      <c r="U88" s="280"/>
      <c r="V88" s="280"/>
    </row>
    <row r="89" customFormat="false" ht="12.75" hidden="true" customHeight="false" outlineLevel="0" collapsed="false">
      <c r="Q89" s="280" t="s">
        <v>2695</v>
      </c>
      <c r="R89" s="280"/>
      <c r="S89" s="488" t="n">
        <f aca="false">VLOOKUP((S87),($S$23:$U$82),3,0)</f>
        <v>3</v>
      </c>
      <c r="T89" s="280"/>
    </row>
    <row r="90" customFormat="false" ht="12.75" hidden="false" customHeight="false" outlineLevel="0" collapsed="false">
      <c r="Q90" s="280" t="s">
        <v>2696</v>
      </c>
      <c r="R90" s="280"/>
      <c r="S90" s="538" t="n">
        <f aca="false">IF(ISERROR(SUM($T$23:$T$82)/SUM($U$23:$U$82)),"",(SUM($T$23:$T$82)-S88)/(SUM($U$23:$U$82)-S89))</f>
        <v>7.65</v>
      </c>
      <c r="T90" s="280"/>
    </row>
    <row r="91" customFormat="false" ht="12.75" hidden="false" customHeight="false" outlineLevel="0" collapsed="false">
      <c r="Q91" s="487" t="s">
        <v>2697</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2698</v>
      </c>
      <c r="R92" s="280"/>
      <c r="S92" s="280" t="n">
        <f aca="false">MATCH(S87,$S$23:$S$82,0)</f>
        <v>3</v>
      </c>
      <c r="T92" s="280"/>
    </row>
    <row r="93" customFormat="false" ht="12.75" hidden="false" customHeight="false" outlineLevel="0" collapsed="false">
      <c r="Q93" s="487" t="s">
        <v>2699</v>
      </c>
      <c r="R93" s="280"/>
      <c r="S93" s="487" t="str">
        <f aca="false">INDEX($A$23:$A$82,$S$92)</f>
        <v>MELSPX</v>
      </c>
      <c r="T93" s="280"/>
    </row>
    <row r="94" customFormat="false" ht="12.75"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2714</v>
      </c>
      <c r="G18" s="577"/>
      <c r="H18" s="576" t="s">
        <v>2714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2721</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2722</v>
      </c>
    </row>
    <row r="35" customFormat="false" ht="15" hidden="false" customHeight="false" outlineLevel="0" collapsed="false">
      <c r="A35" s="565" t="s">
        <v>52</v>
      </c>
      <c r="B35" s="566" t="s">
        <v>53</v>
      </c>
      <c r="C35" s="568"/>
      <c r="D35" s="569"/>
      <c r="F35" s="583" t="s">
        <v>2723</v>
      </c>
    </row>
    <row r="36" customFormat="false" ht="15" hidden="false" customHeight="false" outlineLevel="0" collapsed="false">
      <c r="A36" s="567" t="s">
        <v>320</v>
      </c>
      <c r="B36" s="566" t="s">
        <v>321</v>
      </c>
      <c r="C36" s="568"/>
      <c r="D36" s="569"/>
      <c r="F36" s="585" t="s">
        <v>2724</v>
      </c>
    </row>
    <row r="37" customFormat="false" ht="15" hidden="false" customHeight="false" outlineLevel="0" collapsed="false">
      <c r="A37" s="565" t="s">
        <v>2142</v>
      </c>
      <c r="B37" s="566" t="s">
        <v>2725</v>
      </c>
      <c r="C37" s="568"/>
      <c r="D37" s="569"/>
      <c r="F37" s="585" t="s">
        <v>2639</v>
      </c>
    </row>
    <row r="38" customFormat="false" ht="15" hidden="false" customHeight="false" outlineLevel="0" collapsed="false">
      <c r="A38" s="565" t="s">
        <v>2145</v>
      </c>
      <c r="B38" s="566" t="s">
        <v>2146</v>
      </c>
      <c r="C38" s="568"/>
      <c r="D38" s="569"/>
      <c r="F38" s="585" t="s">
        <v>2638</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2726</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2727</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2728</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2729</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2730</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2731</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2732</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sdal</cp:lastModifiedBy>
  <cp:lastPrinted>2013-01-10T22:36:43Z</cp:lastPrinted>
  <dcterms:modified xsi:type="dcterms:W3CDTF">2014-04-09T10:40:44Z</dcterms:modified>
  <cp:revision>0</cp:revision>
  <dc:subject/>
  <dc:title>Feuille d'aide au calcul de l'IBMR</dc:title>
</cp:coreProperties>
</file>