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ard à St Hilaire de Brethmas" sheetId="7" state="visible" r:id="rId9"/>
    <sheet name="liste codes réf" sheetId="8" state="hidden" r:id="rId10"/>
  </sheets>
  <definedNames>
    <definedName function="false" hidden="false" localSheetId="6" name="_xlnm.Print_Area" vbProcedure="false">'Gard à St Hilaire de Brethmas'!$A$1:$Q$82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'Gard à St Hilaire de Brethmas'!$A$1:$C$1415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<sst xmlns="http://schemas.openxmlformats.org/spreadsheetml/2006/main" count="9992" uniqueCount="3493">
  <si>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</si>
  <si>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</si>
  <si>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</si>
  <si>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</si>
  <si>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</si>
  <si>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</si>
  <si>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</si>
  <si>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</si>
  <si>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</si>
  <si>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</si>
  <si>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</si>
  <si>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</si>
  <si>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</si>
  <si>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</si>
  <si>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</si>
  <si>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</si>
  <si>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</si>
  <si>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</si>
  <si>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</si>
  <si>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</si>
  <si>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</si>
  <si>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</si>
  <si>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</si>
  <si>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</si>
  <si>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</si>
  <si>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</si>
  <si>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</si>
  <si>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</si>
  <si>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</si>
  <si>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</si>
  <si>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</si>
  <si>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</si>
  <si>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</si>
  <si>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</si>
  <si>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</si>
  <si>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</si>
  <si>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</si>
  <si>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</si>
  <si>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</si>
  <si>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</si>
  <si>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</si>
  <si>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</si>
  <si>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</si>
  <si>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</si>
  <si>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</si>
  <si>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</si>
  <si>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</si>
  <si>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</si>
  <si>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</si>
  <si>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</si>
  <si>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</si>
  <si>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</si>
  <si>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</si>
  <si>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</si>
  <si>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</si>
  <si>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</si>
  <si>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</si>
  <si>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</si>
  <si>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</si>
  <si>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</si>
  <si>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</si>
  <si>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</si>
  <si>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</si>
  <si>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</si>
  <si>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</si>
  <si>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</si>
  <si>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</si>
  <si>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</si>
  <si>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</si>
  <si>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</si>
  <si>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</si>
  <si>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</si>
  <si>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</si>
  <si>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</si>
  <si>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</si>
  <si>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</si>
  <si>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</si>
  <si>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</si>
  <si>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</si>
  <si>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</si>
  <si>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</si>
  <si>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</si>
  <si>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</si>
  <si>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</si>
  <si>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</si>
  <si>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</si>
  <si>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</si>
  <si>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</si>
  <si>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</si>
  <si>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</si>
  <si>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</si>
  <si>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</si>
  <si>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</si>
  <si>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</si>
  <si>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</si>
  <si>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</si>
  <si>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</si>
  <si>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</si>
  <si>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</si>
  <si>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</si>
  <si>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</si>
  <si>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</si>
  <si>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</si>
  <si>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</si>
  <si>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</si>
  <si>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</si>
  <si>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</si>
  <si>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</si>
  <si>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</si>
  <si>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</si>
  <si>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</si>
  <si>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</si>
  <si>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</si>
  <si>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</si>
  <si>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</si>
  <si>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</si>
  <si>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</si>
  <si>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</si>
  <si>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</si>
  <si>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</si>
  <si>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</si>
  <si>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</si>
  <si>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</si>
  <si>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</si>
  <si>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</si>
  <si>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</si>
  <si>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</si>
  <si>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</si>
  <si>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</si>
  <si>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</si>
  <si>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</si>
  <si>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</si>
  <si>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</si>
  <si>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</si>
  <si>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</si>
  <si>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</si>
  <si>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</si>
  <si>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</si>
  <si>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</si>
  <si>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</si>
  <si>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</si>
  <si>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</si>
  <si>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</si>
  <si>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</si>
  <si>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</si>
  <si>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</si>
  <si>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</si>
  <si>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</si>
  <si>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</si>
  <si>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</si>
  <si>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</si>
  <si>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</si>
  <si>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</si>
  <si>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</si>
  <si>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</si>
  <si>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</si>
  <si>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</si>
  <si>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</si>
  <si>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</si>
  <si>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</si>
  <si>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</si>
  <si>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</si>
  <si>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</si>
  <si>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</si>
  <si>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</si>
  <si>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</si>
  <si>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</si>
  <si>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</si>
  <si>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</si>
  <si>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</si>
  <si>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</si>
  <si>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</si>
  <si>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</si>
  <si>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</si>
  <si>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</si>
  <si>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</si>
  <si>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</si>
  <si>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</si>
  <si>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</si>
  <si>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</si>
  <si>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</si>
  <si>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</si>
  <si>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</si>
  <si>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</si>
  <si>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</si>
  <si>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</si>
  <si>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</si>
  <si>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</si>
  <si>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</si>
  <si>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</si>
  <si>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</si>
  <si>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</si>
  <si>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</si>
  <si>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</si>
  <si>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</si>
  <si>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</si>
  <si>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</si>
  <si>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</si>
  <si>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</si>
  <si>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</si>
  <si>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</si>
  <si>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</si>
  <si>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</si>
  <si>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</si>
  <si>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</si>
  <si>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</si>
  <si>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</si>
  <si>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</si>
  <si>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</si>
  <si>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</si>
  <si>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</si>
  <si>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</si>
  <si>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</si>
  <si>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</si>
  <si>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</si>
  <si>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</si>
  <si>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</si>
  <si>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</si>
  <si>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</si>
  <si>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</si>
  <si>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</si>
  <si>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</si>
  <si>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</si>
  <si>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</si>
  <si>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</si>
  <si>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</si>
  <si>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</si>
  <si>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</si>
  <si>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</si>
  <si>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</si>
  <si>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</si>
  <si>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</si>
  <si>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</si>
  <si>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</si>
  <si>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</si>
  <si>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</si>
  <si>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</si>
  <si>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</si>
  <si>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</si>
  <si>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</si>
  <si>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</si>
  <si>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</si>
  <si>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</si>
  <si>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</si>
  <si>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</si>
  <si>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</si>
  <si>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</si>
  <si>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</si>
  <si>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</si>
  <si>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</si>
  <si>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</si>
  <si>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</si>
  <si>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</si>
  <si>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</si>
  <si>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</si>
  <si>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</si>
  <si>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</si>
  <si>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</si>
  <si>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</si>
  <si>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</si>
  <si>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</si>
  <si>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</si>
  <si>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</si>
  <si>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</si>
  <si>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</si>
  <si>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</si>
  <si>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</si>
  <si>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</si>
  <si>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</si>
  <si>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</si>
  <si>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</si>
  <si>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</si>
  <si>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</si>
  <si>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</si>
  <si>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</si>
  <si>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</si>
  <si>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</si>
  <si>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</si>
  <si>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</si>
  <si>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</si>
  <si>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</si>
  <si>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</si>
  <si>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</si>
  <si>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</si>
  <si>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</si>
  <si>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</si>
  <si>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</si>
  <si>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</si>
  <si>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</si>
  <si>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</si>
  <si>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</si>
  <si>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</si>
  <si>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</si>
  <si>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</si>
  <si>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</si>
  <si>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</si>
  <si>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</si>
  <si>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</si>
  <si>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</si>
  <si>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</si>
  <si>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</si>
  <si>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</si>
  <si>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</si>
  <si>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</si>
  <si>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</si>
  <si>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</si>
  <si>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</si>
  <si>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</si>
  <si>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</si>
  <si>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</si>
  <si>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</si>
  <si>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</si>
  <si>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</si>
  <si>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</si>
  <si>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</si>
  <si>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</si>
  <si>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</si>
  <si>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</si>
  <si>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</si>
  <si>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</si>
  <si>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</si>
  <si>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</si>
  <si>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</si>
  <si>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</si>
  <si>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</si>
  <si>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</si>
  <si>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</si>
  <si>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</si>
  <si>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</si>
  <si>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</si>
  <si>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</si>
  <si>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</si>
  <si>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</si>
  <si>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</si>
  <si>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</si>
  <si>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</si>
  <si>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</si>
  <si>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</si>
  <si>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</si>
  <si>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</si>
  <si>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</si>
  <si>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</si>
  <si>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</si>
  <si>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</si>
  <si>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</si>
  <si>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</si>
  <si>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</si>
  <si>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</si>
  <si>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</si>
  <si>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</si>
  <si>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</si>
  <si>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</si>
  <si>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</si>
  <si>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</si>
  <si>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</si>
  <si>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</si>
  <si>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</si>
  <si>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</si>
  <si>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</si>
  <si>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</si>
  <si>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</si>
  <si>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</si>
  <si>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</si>
  <si>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</si>
  <si>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</si>
  <si>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</si>
  <si>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</si>
  <si>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</si>
  <si>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</si>
  <si>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</si>
  <si>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</si>
  <si>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</si>
  <si>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</si>
  <si>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</si>
  <si>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</si>
  <si>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</si>
  <si>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</si>
  <si>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</si>
  <si>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</si>
  <si>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</si>
  <si>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</si>
  <si>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</si>
  <si>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</si>
  <si>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</si>
  <si>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</si>
  <si>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</si>
  <si>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</si>
  <si>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</si>
  <si>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</si>
  <si>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</si>
  <si>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</si>
  <si>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</si>
  <si>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</si>
  <si>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</si>
  <si>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</si>
  <si>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</si>
  <si>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</si>
  <si>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</si>
  <si>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</si>
  <si>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</si>
  <si>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</si>
  <si>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</si>
  <si>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</si>
  <si>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</si>
  <si>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</si>
  <si>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</si>
  <si>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</si>
  <si>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</si>
  <si>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</si>
  <si>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</si>
  <si>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</si>
  <si>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</si>
  <si>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</si>
  <si>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</si>
  <si>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</si>
  <si>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</si>
  <si>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</si>
  <si>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</si>
  <si>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</si>
  <si>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</si>
  <si>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</si>
  <si>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</si>
  <si>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</si>
  <si>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</si>
  <si>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</si>
  <si>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</si>
  <si>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</si>
  <si>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</si>
  <si>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</si>
  <si>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</si>
  <si>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</si>
  <si>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</si>
  <si>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</si>
  <si>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</si>
  <si>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</si>
  <si>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</si>
  <si>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</si>
  <si>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</si>
  <si>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</si>
  <si>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</si>
  <si>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</si>
  <si>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</si>
  <si>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</si>
  <si>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</si>
  <si>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</si>
  <si>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</si>
  <si>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</si>
  <si>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</si>
  <si>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</si>
  <si>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</si>
  <si>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</si>
  <si>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</si>
  <si>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</si>
  <si>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</si>
  <si>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</si>
  <si>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</si>
  <si>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</si>
  <si>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</si>
  <si>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</si>
  <si>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</si>
  <si>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</si>
  <si>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</si>
  <si>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</si>
  <si>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</si>
  <si>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</si>
  <si>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</si>
  <si>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</si>
  <si>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</si>
  <si>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</si>
  <si>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</si>
  <si>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</si>
  <si>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</si>
  <si>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</si>
  <si>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</si>
  <si>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</si>
  <si>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</si>
  <si>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</si>
  <si>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</si>
  <si>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</si>
  <si>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</si>
  <si>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</si>
  <si>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</si>
  <si>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</si>
  <si>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</si>
  <si>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</si>
  <si>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</si>
  <si>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</si>
  <si>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</si>
  <si>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</si>
  <si>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</si>
  <si>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</si>
  <si>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</si>
  <si>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</si>
  <si>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</si>
  <si>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</si>
  <si>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</si>
  <si>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</si>
  <si>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</si>
  <si>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</si>
  <si>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</si>
  <si>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</si>
  <si>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</si>
  <si>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</si>
  <si>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</si>
  <si>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</si>
  <si>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</si>
  <si>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</si>
  <si>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</si>
  <si>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</si>
  <si>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</si>
  <si>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</si>
  <si>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</si>
  <si>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</si>
  <si>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</si>
  <si>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</si>
  <si>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</si>
  <si>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</si>
  <si>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</si>
  <si>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</si>
  <si>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</si>
  <si>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</si>
  <si>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</si>
  <si>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</si>
  <si>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</si>
  <si>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</si>
  <si>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</si>
  <si>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</si>
  <si>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</si>
  <si>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</si>
  <si>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</si>
  <si>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</si>
  <si>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</si>
  <si>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</si>
  <si>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</si>
  <si>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</si>
  <si>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</si>
  <si>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</si>
  <si>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</si>
  <si>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</si>
  <si>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</si>
  <si>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</si>
  <si>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</si>
  <si>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</si>
  <si>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</si>
  <si>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</si>
  <si>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</si>
  <si>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</si>
  <si>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</si>
  <si>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</si>
  <si>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</si>
  <si>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</si>
  <si>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</si>
  <si>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</si>
  <si>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</si>
  <si>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</si>
  <si>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</si>
  <si>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</si>
  <si>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</si>
  <si>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</si>
  <si>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</si>
  <si>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</si>
  <si>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</si>
  <si>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</si>
  <si>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</si>
  <si>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</si>
  <si>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</si>
  <si>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</si>
  <si>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</si>
  <si>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</si>
  <si>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</si>
  <si>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</si>
  <si>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</si>
  <si>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</si>
  <si>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</si>
  <si>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</si>
  <si>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</si>
  <si>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</si>
  <si>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</si>
  <si>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</si>
  <si>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</si>
  <si>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</si>
  <si>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</si>
  <si>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</si>
  <si>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</si>
  <si>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</si>
  <si>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</si>
  <si>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</si>
  <si>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</si>
  <si>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</si>
  <si>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</si>
  <si>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</si>
  <si>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</si>
  <si>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</si>
  <si>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</si>
  <si>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</si>
  <si>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</si>
  <si>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</si>
  <si>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</si>
  <si>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</si>
  <si>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</si>
  <si>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</si>
  <si>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</si>
  <si>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</si>
  <si>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</si>
  <si>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</si>
  <si>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</si>
  <si>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</si>
  <si>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</si>
  <si>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</si>
  <si>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</si>
  <si>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</si>
  <si>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</si>
  <si>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</si>
  <si>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</si>
  <si>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</si>
  <si>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</si>
  <si>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</si>
  <si>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</si>
  <si>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</si>
  <si>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</si>
  <si>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</si>
  <si>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</si>
  <si>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</si>
  <si>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</si>
  <si>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</si>
  <si>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</si>
  <si>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</si>
  <si>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</si>
  <si>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</si>
  <si>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</si>
  <si>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</si>
  <si>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</si>
  <si>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</si>
  <si>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</si>
  <si>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</si>
  <si>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</si>
  <si>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</si>
  <si>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</si>
  <si>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</si>
  <si>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</si>
  <si>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</si>
  <si>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</si>
  <si>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</si>
  <si>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</si>
  <si>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</si>
  <si>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</si>
  <si>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</si>
  <si>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</si>
  <si>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</si>
  <si>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</si>
  <si>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</si>
  <si>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</si>
  <si>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</si>
  <si>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</si>
  <si>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</si>
  <si>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</si>
  <si>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</si>
  <si>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</si>
  <si>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</si>
  <si>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</si>
  <si>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</si>
  <si>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</si>
  <si>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</si>
  <si>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</si>
  <si>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</si>
  <si>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</si>
  <si>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</si>
  <si>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</si>
  <si>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</si>
  <si>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</si>
  <si>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</si>
  <si>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</si>
  <si>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</si>
  <si>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</si>
  <si>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</si>
  <si>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</si>
  <si>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</si>
  <si>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</si>
  <si>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</si>
  <si>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</si>
  <si>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</si>
  <si>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</si>
  <si>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</si>
  <si>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</si>
  <si>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</si>
  <si>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</si>
  <si>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</si>
  <si>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</si>
  <si>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</si>
  <si>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</si>
  <si>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</si>
  <si>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</si>
  <si>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</si>
  <si>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</si>
  <si>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</si>
  <si>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</si>
  <si>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</si>
  <si>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</si>
  <si>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</si>
  <si>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</si>
  <si>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</si>
  <si>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</si>
  <si>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</si>
  <si>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</si>
  <si>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</si>
  <si>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</si>
  <si>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</si>
  <si>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</si>
  <si>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</si>
  <si>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</si>
  <si>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</si>
  <si>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</si>
  <si>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</si>
  <si>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</si>
  <si>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</si>
  <si>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</si>
  <si>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</si>
  <si>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</si>
  <si>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</si>
  <si>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</si>
  <si>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</si>
  <si>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</si>
  <si>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</si>
  <si>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</si>
  <si>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</si>
  <si>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</si>
  <si>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</si>
  <si>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</si>
  <si>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</si>
  <si>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</si>
  <si>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</si>
  <si>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</si>
  <si>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</si>
  <si>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</si>
  <si>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</si>
  <si>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</si>
  <si>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</si>
  <si>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</si>
  <si>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</si>
  <si>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</si>
  <si>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</si>
  <si>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</si>
  <si>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</si>
  <si>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</si>
  <si>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</si>
  <si>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</si>
  <si>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</si>
  <si>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</si>
  <si>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</si>
  <si>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</si>
  <si>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</si>
  <si>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</si>
  <si>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</si>
  <si>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</si>
  <si>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</si>
  <si>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</si>
  <si>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</si>
  <si>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</si>
  <si>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</si>
  <si>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</si>
  <si>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</si>
  <si>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</si>
  <si>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</si>
  <si>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</si>
  <si>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</si>
  <si>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</si>
  <si>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</si>
  <si>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</si>
  <si>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</si>
  <si>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</si>
  <si>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</si>
  <si>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</si>
  <si>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</si>
  <si>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</si>
  <si>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</si>
  <si>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</si>
  <si>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</si>
  <si>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</si>
  <si>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</si>
  <si>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</si>
  <si>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</si>
  <si>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</si>
  <si>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</si>
  <si>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</si>
  <si>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</si>
  <si>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</si>
  <si>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</si>
  <si>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</si>
  <si>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</si>
  <si>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</si>
  <si>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</si>
  <si>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</si>
  <si>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</si>
  <si>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</si>
  <si>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</si>
  <si>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</si>
  <si>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</si>
  <si>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</si>
  <si>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</si>
  <si>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</si>
  <si>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</si>
  <si>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</si>
  <si>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</si>
  <si>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</si>
  <si>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</si>
  <si>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</si>
  <si>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</si>
  <si>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</si>
  <si>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</si>
  <si>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</si>
  <si>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</si>
  <si>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</si>
  <si>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</si>
  <si>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</si>
  <si>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</si>
  <si>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</si>
  <si>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</si>
  <si>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</si>
  <si>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</si>
  <si>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</si>
  <si>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</si>
  <si>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</si>
  <si>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</si>
  <si>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</si>
  <si>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</si>
  <si>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</si>
  <si>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</si>
  <si>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</si>
  <si>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</si>
  <si>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</si>
  <si>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</si>
  <si>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</si>
  <si>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</si>
  <si>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</si>
  <si>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</si>
  <si>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</si>
  <si>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</si>
  <si>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</si>
  <si>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</si>
  <si>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</si>
  <si>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</si>
  <si>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</si>
  <si>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</si>
  <si>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</si>
  <si>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</si>
  <si>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</si>
  <si>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</si>
  <si>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</si>
  <si>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</si>
  <si>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</si>
  <si>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</si>
  <si>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</si>
  <si>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</si>
  <si>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</si>
  <si>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</si>
  <si>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</si>
  <si>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</si>
  <si>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</si>
  <si>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</si>
  <si>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</si>
  <si>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</si>
  <si>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</si>
  <si>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</si>
  <si>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</si>
  <si>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</si>
  <si>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</si>
  <si>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</si>
  <si>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</si>
  <si>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</si>
  <si>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</si>
  <si>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</si>
  <si>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</si>
  <si>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</si>
  <si>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</si>
  <si>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</si>
  <si>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</si>
  <si>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</si>
  <si>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</si>
  <si>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</si>
  <si>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</si>
  <si>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</si>
  <si>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</si>
  <si>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</si>
  <si>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</si>
  <si>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</si>
  <si>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</si>
  <si>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</si>
  <si>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</si>
  <si>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</si>
  <si>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</si>
  <si>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</si>
  <si>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</si>
  <si>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</si>
  <si>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</si>
  <si>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</si>
  <si>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</si>
  <si>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</si>
  <si>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</si>
  <si>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</si>
  <si>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</si>
  <si>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</si>
  <si>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</si>
  <si>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</si>
  <si>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</si>
  <si>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</si>
  <si>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</si>
  <si>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</si>
  <si>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</si>
  <si>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</si>
  <si>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</si>
  <si>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</si>
  <si>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</si>
  <si>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</si>
  <si>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</si>
  <si>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</si>
  <si>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</si>
  <si>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</si>
  <si>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</si>
  <si>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</si>
  <si>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</si>
  <si>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</si>
  <si>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</si>
  <si>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</si>
  <si>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</si>
  <si>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</si>
  <si>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</si>
  <si>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</si>
  <si>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</si>
  <si>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</si>
  <si>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</si>
  <si>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</si>
  <si>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</si>
  <si>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</si>
  <si>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</si>
  <si>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</si>
  <si>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</si>
  <si>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</si>
  <si>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</si>
  <si>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</si>
  <si>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</si>
  <si>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</si>
  <si>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</si>
  <si>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</si>
  <si>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</si>
  <si>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</si>
  <si>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</si>
  <si>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</si>
  <si>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</si>
  <si>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</si>
  <si>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</si>
  <si>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</si>
  <si>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</si>
  <si>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</si>
  <si>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</si>
  <si>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</si>
  <si>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</si>
  <si>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</si>
  <si>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</si>
  <si>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</si>
  <si>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</si>
  <si>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</si>
  <si>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</si>
  <si>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</si>
  <si>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</si>
  <si>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</si>
  <si>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</si>
  <si>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</si>
  <si>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</si>
  <si>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</si>
  <si>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</si>
  <si>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</si>
  <si>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</si>
  <si>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</si>
  <si>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</si>
  <si>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</si>
  <si>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</si>
  <si>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</si>
  <si>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</si>
  <si>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</si>
  <si>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</si>
  <si>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</si>
  <si>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</si>
  <si>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</si>
  <si>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</si>
  <si>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</si>
  <si>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</si>
  <si>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</si>
  <si>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</si>
  <si>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</si>
  <si>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</si>
  <si>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</si>
  <si>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</si>
  <si>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</si>
  <si>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</si>
  <si>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</si>
  <si>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</si>
  <si>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</si>
  <si>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</si>
  <si>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</si>
  <si>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</si>
  <si>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</si>
  <si>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</si>
  <si>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</si>
  <si>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</si>
  <si>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</si>
  <si>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</si>
  <si>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</si>
  <si>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</si>
  <si>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</si>
  <si>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</si>
  <si>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</si>
  <si>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</si>
  <si>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</si>
  <si>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</si>
  <si>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</si>
  <si>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</si>
  <si>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</si>
  <si>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</si>
  <si>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</si>
  <si>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</si>
  <si>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</si>
  <si>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</si>
  <si>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</si>
  <si>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</si>
  <si>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</si>
  <si>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</si>
  <si>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</si>
  <si>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</si>
  <si>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</si>
  <si>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</si>
  <si>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</si>
  <si>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</si>
  <si>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</si>
  <si>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</si>
  <si>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</si>
  <si>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</si>
  <si>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</si>
  <si>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</si>
  <si>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</si>
  <si>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</si>
  <si>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</si>
  <si>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</si>
  <si>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</si>
  <si>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</si>
  <si>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</si>
  <si>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</si>
  <si>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</si>
  <si>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</si>
  <si>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</si>
  <si>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</si>
  <si>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</si>
  <si>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</si>
  <si>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</si>
  <si>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</si>
  <si>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</si>
  <si>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</si>
  <si>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</si>
  <si>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</si>
  <si>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</si>
  <si>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</si>
  <si>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</si>
  <si>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</si>
  <si>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</si>
  <si>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</si>
  <si>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</si>
  <si>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</si>
  <si>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</si>
  <si>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</si>
  <si>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</si>
  <si>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</si>
  <si>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</si>
  <si>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</si>
  <si>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</si>
  <si>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</si>
  <si>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</si>
  <si>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</si>
  <si>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</si>
  <si>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</si>
  <si>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</si>
  <si>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</si>
  <si>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</si>
  <si>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</si>
  <si>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</si>
  <si>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</si>
  <si>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</si>
  <si>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</si>
  <si>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</si>
  <si>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</si>
  <si>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</si>
  <si>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</si>
  <si>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</si>
  <si>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</si>
  <si>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</si>
  <si>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</si>
  <si>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</si>
  <si>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</si>
  <si>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</si>
  <si>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</si>
  <si>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</si>
  <si>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</si>
  <si>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</si>
  <si>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</si>
  <si>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</si>
  <si>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</si>
  <si>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</si>
  <si>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</si>
  <si>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</si>
  <si>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</si>
  <si>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</si>
  <si>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</si>
  <si>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</si>
  <si>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</si>
  <si>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</si>
  <si>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</si>
  <si>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</si>
  <si>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</si>
  <si>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</si>
  <si>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</si>
  <si>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</si>
  <si>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</si>
  <si>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</si>
  <si>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</si>
  <si>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</si>
  <si>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</si>
  <si>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</si>
  <si>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</si>
  <si>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</si>
  <si>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</si>
  <si>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</si>
  <si>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</si>
  <si>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</si>
  <si>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</si>
  <si>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</si>
  <si>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</si>
  <si>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</si>
  <si>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</si>
  <si>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</si>
  <si>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</si>
  <si>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</si>
  <si>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</si>
  <si>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</si>
  <si>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</si>
  <si>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</si>
  <si>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</si>
  <si>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</si>
  <si>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</si>
  <si>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</si>
  <si>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</si>
  <si>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</si>
  <si>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</si>
  <si>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</si>
  <si>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</si>
  <si>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</si>
  <si>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</si>
  <si>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</si>
  <si>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</si>
  <si>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</si>
  <si>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</si>
  <si>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</si>
  <si>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</si>
  <si>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</si>
  <si>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</si>
  <si>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</si>
  <si>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</si>
  <si>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</si>
  <si>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</si>
  <si>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</si>
  <si>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</si>
  <si>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</si>
  <si>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</si>
  <si>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</si>
  <si>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</si>
  <si>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</si>
  <si>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</si>
  <si>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</si>
  <si>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</si>
  <si>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</si>
  <si>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</si>
  <si>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</si>
  <si>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</si>
  <si>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</si>
  <si>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</si>
  <si>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</si>
  <si>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</si>
  <si>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</si>
  <si>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</si>
  <si>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</si>
  <si>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</si>
  <si>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</si>
  <si>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</si>
  <si>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</si>
  <si>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</si>
  <si>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</si>
  <si>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</si>
  <si>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</si>
  <si>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</si>
  <si>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</si>
  <si>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</si>
  <si>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</si>
  <si>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</si>
  <si>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</si>
  <si>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</si>
  <si>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</si>
  <si>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</si>
  <si>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</si>
  <si>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</si>
  <si>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</si>
  <si>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</si>
  <si>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</si>
  <si>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</si>
  <si>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</si>
  <si>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</si>
  <si>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</si>
  <si>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</si>
  <si>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</si>
  <si>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</si>
  <si>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</si>
  <si>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</si>
  <si>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</si>
  <si>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</si>
  <si>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</si>
  <si>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</si>
  <si>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</si>
  <si>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</si>
  <si>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</si>
  <si>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</si>
  <si>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</si>
  <si>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</si>
  <si>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</si>
  <si>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</si>
  <si>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</si>
  <si>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</si>
  <si>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</si>
  <si>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</si>
  <si>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</si>
  <si>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</si>
  <si>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</si>
  <si>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</si>
  <si>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</si>
  <si>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</si>
  <si>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</si>
  <si>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</si>
  <si>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</si>
  <si>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</si>
  <si>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</si>
  <si>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</si>
  <si>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</si>
  <si>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</si>
  <si>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</si>
  <si>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</si>
  <si>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</si>
  <si>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</si>
  <si>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</si>
  <si>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</si>
  <si>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</si>
  <si>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</si>
  <si>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</si>
  <si>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</si>
  <si>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</si>
  <si>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</si>
  <si>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</si>
  <si>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</si>
  <si>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</si>
  <si>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</si>
  <si>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</si>
  <si>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</si>
  <si>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</si>
  <si>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</si>
  <si>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</si>
  <si>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</si>
  <si>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</si>
  <si>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</si>
  <si>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</si>
  <si>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</si>
  <si>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</si>
  <si>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</si>
  <si>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</si>
  <si>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</si>
  <si>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</si>
  <si>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</si>
  <si>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</si>
  <si>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</si>
  <si>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</si>
  <si>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</si>
  <si>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</si>
  <si>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</si>
  <si>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</si>
  <si>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</si>
  <si>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</si>
  <si>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</si>
  <si>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</si>
  <si>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</si>
  <si>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</si>
  <si>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</si>
  <si>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</si>
  <si>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</si>
  <si>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</si>
  <si>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</si>
  <si>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</si>
  <si>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</si>
  <si>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</si>
  <si>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</si>
  <si>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</si>
  <si>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</si>
  <si>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</si>
  <si>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</si>
  <si>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</si>
  <si>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</si>
  <si>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</si>
  <si>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</si>
  <si>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</si>
  <si>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</si>
  <si>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</si>
  <si>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</si>
  <si>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</si>
  <si>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</si>
  <si>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</si>
  <si>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</si>
  <si>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</si>
  <si>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</si>
  <si>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</si>
  <si>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</si>
  <si>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</si>
  <si>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</si>
  <si>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</si>
  <si>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</si>
  <si>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</si>
  <si>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</si>
  <si>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</si>
  <si>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</si>
  <si>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</si>
  <si>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</si>
  <si>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</si>
  <si>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</si>
  <si>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</si>
  <si>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</si>
  <si>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</si>
  <si>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</si>
  <si>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</si>
  <si>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</si>
  <si>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</si>
  <si>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</si>
  <si>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</si>
  <si>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</si>
  <si>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</si>
  <si>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</si>
  <si>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</si>
  <si>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</si>
  <si>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</si>
  <si>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</si>
  <si>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</si>
  <si>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</si>
  <si>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</si>
  <si>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</si>
  <si>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</si>
  <si>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</si>
  <si>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</si>
  <si>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</si>
  <si>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</si>
  <si>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</si>
  <si>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</si>
  <si>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</si>
  <si>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</si>
  <si>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</si>
  <si>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</si>
  <si>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</si>
  <si>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</si>
  <si>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</si>
  <si>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</si>
  <si>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</si>
  <si>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</si>
  <si>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</si>
  <si>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</si>
  <si>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</si>
  <si>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</si>
  <si>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</si>
  <si>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</si>
  <si>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</si>
  <si>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</si>
  <si>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</si>
  <si>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</si>
  <si>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</si>
  <si>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</si>
  <si>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</si>
  <si>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</si>
  <si>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</si>
  <si>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</si>
  <si>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</si>
  <si>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</si>
  <si>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</si>
  <si>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</si>
  <si>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</si>
  <si>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</si>
  <si>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</si>
  <si>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</si>
  <si>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</si>
  <si>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</si>
  <si>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</si>
  <si>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</si>
  <si>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</si>
  <si>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</si>
  <si>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</si>
  <si>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</si>
  <si>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</si>
  <si>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</si>
  <si>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</si>
  <si>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</si>
  <si>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</si>
  <si>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</si>
  <si>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</si>
  <si>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</si>
  <si>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</si>
  <si>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</si>
  <si>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</si>
  <si>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</si>
  <si>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</si>
  <si>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</si>
  <si>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</si>
  <si>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</si>
  <si>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</si>
  <si>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</si>
  <si>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</si>
  <si>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</si>
  <si>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</si>
  <si>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</si>
  <si>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</si>
  <si>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</si>
  <si>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</si>
  <si>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</si>
  <si>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</si>
  <si>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</si>
  <si>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</si>
  <si>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</si>
  <si>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</si>
  <si>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</si>
  <si>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</si>
  <si>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</si>
  <si>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</si>
  <si>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</si>
  <si>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</si>
  <si>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</si>
  <si>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</si>
  <si>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</si>
  <si>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</si>
  <si>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</si>
  <si>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</si>
  <si>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</si>
  <si>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</si>
  <si>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</si>
  <si>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</si>
  <si>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</si>
  <si>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</si>
  <si>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</si>
  <si>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</si>
  <si>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</si>
  <si>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</si>
  <si>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</si>
  <si>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</si>
  <si>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</si>
  <si>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</si>
  <si>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</si>
  <si>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</si>
  <si>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</si>
  <si>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</si>
  <si>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</si>
  <si>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</si>
  <si>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</si>
  <si>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</si>
  <si>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</si>
  <si>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</si>
  <si>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</si>
  <si>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</si>
  <si>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</si>
  <si>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</si>
  <si>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</si>
  <si>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</si>
  <si>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</si>
  <si>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</si>
  <si>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</si>
  <si>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</si>
  <si>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</si>
  <si>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</si>
  <si>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</si>
  <si>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</si>
  <si>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</si>
  <si>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</si>
  <si>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</si>
  <si>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</si>
  <si>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</si>
  <si>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</si>
  <si>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</si>
  <si>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</si>
  <si>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</si>
  <si>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</si>
  <si>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</si>
  <si>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</si>
  <si>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</si>
  <si>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</si>
  <si>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</si>
  <si>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</si>
  <si>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</si>
  <si>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</si>
  <si>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</si>
  <si>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</si>
  <si>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</si>
  <si>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</si>
  <si>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</si>
  <si>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</si>
  <si>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</si>
  <si>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</si>
  <si>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</si>
  <si>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</si>
  <si>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</si>
  <si>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</si>
  <si>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</si>
  <si>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</si>
  <si>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</si>
  <si>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</si>
  <si>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</si>
  <si>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</si>
  <si>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</si>
  <si>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</si>
  <si>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</si>
  <si>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</si>
  <si>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</si>
  <si>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</si>
  <si>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</si>
  <si>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</si>
  <si>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</si>
  <si>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</si>
  <si>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</si>
  <si>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</si>
  <si>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</si>
  <si>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</si>
  <si>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</si>
  <si>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</si>
  <si>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</si>
  <si>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</si>
  <si>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</si>
  <si>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</si>
  <si>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</si>
  <si>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</si>
  <si>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</si>
  <si>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</si>
  <si>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</si>
  <si>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</si>
  <si>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</si>
  <si>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</si>
  <si>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</si>
  <si>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</si>
  <si>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</si>
  <si>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</si>
  <si>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</si>
  <si>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</si>
  <si>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</si>
  <si>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</si>
  <si>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</si>
  <si>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</si>
  <si>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</si>
  <si>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</si>
  <si>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</si>
  <si>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</si>
  <si>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</si>
  <si>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</si>
  <si>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</si>
  <si>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</si>
  <si>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</si>
  <si>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</si>
  <si>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</si>
  <si>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</si>
  <si>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</si>
  <si>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</si>
  <si>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</si>
  <si>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</si>
  <si>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</si>
  <si>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</si>
  <si>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</si>
  <si>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</si>
  <si>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</si>
  <si>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</si>
  <si>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</si>
  <si>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</si>
  <si>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</si>
  <si>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</si>
  <si>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</si>
  <si>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</si>
  <si>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</si>
  <si>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</si>
  <si>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</si>
  <si>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</si>
  <si>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</si>
  <si>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</si>
  <si>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</si>
  <si>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</si>
  <si>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</si>
  <si>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</si>
  <si>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</si>
  <si>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</si>
  <si>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</si>
  <si>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</si>
  <si>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</si>
  <si>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</si>
  <si>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</si>
  <si>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</si>
  <si>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</si>
  <si>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</si>
  <si>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</si>
  <si>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</si>
  <si>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</si>
  <si>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</si>
  <si>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</si>
  <si>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</si>
  <si>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</si>
  <si>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</si>
  <si>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</si>
  <si>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</si>
  <si>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</si>
  <si>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</si>
  <si>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</si>
  <si>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</si>
  <si>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</si>
  <si>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</si>
  <si>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</si>
  <si>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</si>
  <si>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</si>
  <si>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</si>
  <si>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</si>
  <si>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</si>
  <si>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</si>
  <si>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</si>
  <si>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</si>
  <si>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</si>
  <si>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</si>
  <si>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</si>
  <si>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</si>
  <si>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</si>
  <si>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</si>
  <si>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</si>
  <si>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</si>
  <si>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</si>
  <si>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</si>
  <si>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</si>
  <si>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</si>
  <si>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</si>
  <si>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</si>
  <si>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</si>
  <si>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</si>
  <si>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</si>
  <si>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</si>
  <si>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</si>
  <si>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</si>
  <si>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</si>
  <si>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</si>
  <si>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</si>
  <si>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</si>
  <si>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</si>
  <si>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</si>
  <si>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</si>
  <si>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</si>
  <si>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</si>
  <si>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</si>
  <si>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</si>
  <si>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</si>
  <si>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</si>
  <si>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</si>
  <si>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</si>
  <si>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</si>
  <si>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</si>
  <si>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</si>
  <si>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</si>
  <si>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</si>
  <si>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</si>
  <si>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</si>
  <si>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</si>
  <si>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</si>
  <si>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</si>
  <si>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</si>
  <si>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</si>
  <si>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</si>
  <si>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</si>
  <si>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</si>
  <si>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</si>
  <si>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</si>
  <si>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</si>
  <si>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</si>
  <si>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</si>
  <si>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</si>
  <si>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</si>
  <si>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</si>
  <si>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</si>
  <si>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</si>
  <si>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</si>
  <si>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</si>
  <si>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</si>
  <si>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</si>
  <si>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</si>
  <si>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</si>
  <si>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</si>
  <si>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</si>
  <si>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</si>
  <si>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</si>
  <si>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</si>
  <si>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</si>
  <si>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</si>
  <si>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</si>
  <si>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</si>
  <si>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</si>
  <si>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</si>
  <si>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</si>
  <si>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</si>
  <si>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</si>
  <si>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</si>
  <si>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</si>
  <si>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</si>
  <si>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</si>
  <si>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</si>
  <si>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</si>
  <si>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</si>
  <si>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</si>
  <si>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</si>
  <si>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</si>
  <si>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</si>
  <si>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</si>
  <si>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</si>
  <si>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</si>
  <si>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</si>
  <si>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</si>
  <si>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</si>
  <si>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</si>
  <si>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</si>
  <si>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</si>
  <si>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</si>
  <si>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</si>
  <si>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</si>
  <si>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</si>
  <si>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</si>
  <si>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</si>
  <si>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</si>
  <si>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</si>
  <si>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</si>
  <si>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</si>
  <si>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</si>
  <si>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</si>
  <si>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</si>
  <si>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</si>
  <si>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</si>
  <si>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</si>
  <si>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</si>
  <si>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</si>
  <si>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</si>
  <si>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</si>
  <si>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</si>
  <si>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</si>
  <si>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</si>
  <si>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</si>
  <si>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</si>
  <si>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</si>
  <si>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</si>
  <si>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</si>
  <si>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</si>
  <si>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</si>
  <si>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</si>
  <si>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</si>
  <si>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</si>
  <si>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</si>
  <si>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</si>
  <si>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</si>
  <si>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</si>
  <si>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</si>
  <si>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</si>
  <si>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</si>
  <si>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</si>
  <si>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</si>
  <si>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</si>
  <si>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</si>
  <si>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</si>
  <si>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</si>
  <si>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</si>
  <si>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</si>
  <si>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</si>
  <si>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</si>
  <si>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</si>
  <si>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</si>
  <si>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</si>
  <si>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</si>
  <si>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</si>
  <si>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</si>
  <si>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</si>
  <si>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</si>
  <si>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</si>
  <si>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</si>
  <si>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</si>
  <si>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</si>
  <si>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</si>
  <si>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</si>
  <si>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</si>
  <si>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</si>
  <si>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</si>
  <si>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</si>
  <si>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</si>
  <si>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</si>
  <si>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</si>
  <si>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</si>
  <si>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</si>
  <si>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</si>
  <si>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</si>
  <si>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</si>
  <si>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</si>
  <si>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</si>
  <si>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</si>
  <si>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</si>
  <si>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</si>
  <si>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</si>
  <si>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</si>
  <si>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</si>
  <si>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</si>
  <si>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</si>
  <si>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</si>
  <si>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</si>
  <si>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</si>
  <si>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</si>
  <si>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</si>
  <si>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</si>
  <si>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</si>
  <si>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</si>
  <si>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</si>
  <si>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</si>
  <si>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</si>
  <si>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</si>
  <si>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</si>
  <si>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</si>
  <si>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</si>
  <si>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</si>
  <si>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</si>
  <si>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</si>
  <si>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</si>
  <si>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</si>
  <si>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</si>
  <si>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</si>
  <si>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</si>
  <si>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</si>
  <si>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</si>
  <si>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</si>
  <si>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</si>
  <si>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</si>
  <si>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</si>
  <si>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</si>
  <si>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</si>
  <si>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</si>
  <si>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</si>
  <si>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</si>
  <si>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</si>
  <si>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</si>
  <si>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</si>
  <si>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</si>
  <si>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</si>
  <si>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</si>
  <si>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</si>
  <si>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</si>
  <si>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</si>
  <si>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</si>
  <si>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</si>
  <si>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</si>
  <si>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</si>
  <si>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</si>
  <si>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</si>
  <si>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</si>
  <si>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</si>
  <si>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</si>
  <si>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</si>
  <si>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</si>
  <si>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</si>
  <si>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</si>
  <si>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</si>
  <si>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</si>
  <si>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</si>
  <si>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</si>
  <si>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</si>
  <si>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</si>
  <si>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</si>
  <si>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</si>
  <si>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</si>
  <si>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</si>
  <si>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</si>
  <si>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</si>
  <si>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</si>
  <si>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</si>
  <si>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</si>
  <si>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</si>
  <si>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</si>
  <si>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</si>
  <si>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</si>
  <si>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</si>
  <si>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</si>
  <si>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</si>
  <si>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</si>
  <si>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</si>
  <si>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</si>
  <si>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</si>
  <si>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</si>
  <si>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</si>
  <si>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</si>
  <si>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</si>
  <si>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</si>
  <si>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</si>
  <si>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</si>
  <si>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</si>
  <si>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</si>
  <si>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</si>
  <si>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</si>
  <si>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</si>
  <si>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</si>
  <si>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</si>
  <si>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</si>
  <si>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</si>
  <si>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</si>
  <si>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</si>
  <si>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</si>
  <si>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</si>
  <si>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</si>
  <si>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</si>
  <si>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</si>
  <si>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</si>
  <si>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</si>
  <si>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</si>
  <si>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</si>
  <si>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</si>
  <si>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</si>
  <si>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</si>
  <si>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</si>
  <si>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</si>
  <si>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</si>
  <si>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</si>
  <si>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</si>
  <si>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</si>
  <si>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</si>
  <si>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</si>
  <si>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</si>
  <si>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</si>
  <si>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</si>
  <si>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</si>
  <si>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</si>
  <si>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</si>
  <si>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</si>
  <si>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</si>
  <si>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</si>
  <si>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</si>
  <si>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</si>
  <si>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</si>
  <si>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</si>
  <si>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</si>
  <si>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</si>
  <si>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</si>
  <si>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</si>
  <si>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</si>
  <si>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</si>
  <si>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</si>
  <si>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</si>
  <si>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</si>
  <si>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</si>
  <si>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</si>
  <si>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</si>
  <si>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</si>
  <si>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</si>
  <si>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</si>
  <si>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</si>
  <si>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</si>
  <si>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</si>
  <si>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</si>
  <si>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</si>
  <si>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</si>
  <si>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</si>
  <si>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</si>
  <si>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</si>
  <si>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</si>
  <si>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</si>
  <si>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</si>
  <si>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</si>
  <si>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</si>
  <si>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</si>
  <si>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</si>
  <si>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</si>
  <si>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</si>
  <si>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</si>
  <si>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</si>
  <si>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</si>
  <si>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</si>
  <si>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</si>
  <si>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</si>
  <si>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</si>
  <si>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</si>
  <si>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</si>
  <si>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</si>
  <si>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</si>
  <si>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</si>
  <si>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</si>
  <si>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</si>
  <si>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</si>
  <si>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</si>
  <si>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</si>
  <si>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</si>
  <si>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</si>
  <si>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</si>
  <si>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</si>
  <si>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</si>
  <si>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</si>
  <si>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</si>
  <si>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</si>
  <si>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</si>
  <si>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</si>
  <si>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</si>
  <si>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</si>
  <si>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</si>
  <si>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</si>
  <si>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</si>
  <si>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</si>
  <si>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</si>
  <si>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</si>
  <si>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</si>
  <si>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</si>
  <si>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</si>
  <si>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</si>
  <si>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</si>
  <si>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</si>
  <si>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</si>
  <si>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</si>
  <si>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</si>
  <si>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</si>
  <si>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</si>
  <si>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</si>
  <si>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</si>
  <si>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</si>
  <si>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</si>
  <si>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</si>
  <si>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</si>
  <si>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</si>
  <si>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</si>
  <si>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</si>
  <si>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</si>
  <si>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</si>
  <si>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</si>
  <si>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</si>
  <si>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</si>
  <si>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</si>
  <si>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</si>
  <si>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</si>
  <si>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</si>
  <si>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</si>
  <si>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</si>
  <si>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</si>
  <si>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</si>
  <si>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</si>
  <si>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</si>
  <si>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</si>
  <si>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</si>
  <si>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</si>
  <si>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</si>
  <si>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</si>
  <si>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</si>
  <si>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</si>
  <si>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</si>
  <si>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</si>
  <si>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</si>
  <si>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</si>
  <si>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</si>
  <si>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</si>
  <si>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</si>
  <si>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</si>
  <si>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</si>
  <si>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</si>
  <si>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</si>
  <si>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</si>
  <si>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</si>
  <si>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</si>
  <si>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</si>
  <si>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</si>
  <si>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</si>
  <si>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</si>
  <si>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</si>
  <si>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</si>
  <si>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</si>
  <si>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</si>
  <si>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</si>
  <si>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</si>
  <si>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</si>
  <si>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</si>
  <si>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</si>
  <si>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</si>
  <si>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</si>
  <si>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</si>
  <si>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</si>
  <si>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</si>
  <si>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</si>
  <si>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</si>
  <si>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</si>
  <si>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</si>
  <si>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</si>
  <si>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</si>
  <si>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</si>
  <si>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</si>
  <si>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</si>
  <si>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</si>
  <si>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</si>
  <si>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</si>
  <si>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</si>
  <si>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</si>
  <si>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</si>
  <si>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</si>
  <si>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</si>
  <si>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</si>
  <si>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</si>
  <si>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</si>
  <si>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</si>
  <si>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</si>
  <si>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</si>
  <si>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</si>
  <si>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</si>
  <si>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</si>
  <si>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</si>
  <si>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</si>
  <si>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</si>
  <si>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</si>
  <si>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</si>
  <si>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</si>
  <si>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</si>
  <si>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</si>
  <si>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</si>
  <si>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</si>
  <si>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</si>
  <si>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</si>
  <si>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</si>
  <si>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</si>
  <si>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</si>
  <si>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</si>
  <si>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</si>
  <si>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</si>
  <si>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</si>
  <si>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</si>
  <si>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</si>
  <si>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</si>
  <si>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</si>
  <si>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</si>
  <si>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</si>
  <si>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</si>
  <si>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</si>
  <si>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</si>
  <si>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</si>
  <si>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</si>
  <si>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</si>
  <si>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</si>
  <si>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</si>
  <si>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</si>
  <si>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</si>
  <si>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</si>
  <si>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</si>
  <si>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</si>
  <si>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</si>
  <si>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</si>
  <si>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</si>
  <si>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</si>
  <si>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</si>
  <si>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</si>
  <si>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</si>
  <si>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</si>
  <si>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</si>
  <si>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</si>
  <si>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</si>
  <si>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</si>
  <si>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</si>
  <si>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</si>
  <si>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</si>
  <si>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</si>
  <si>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</si>
  <si>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</si>
  <si>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</si>
  <si>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</si>
  <si>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</si>
  <si>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</si>
  <si>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</si>
  <si>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</si>
  <si>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</si>
  <si>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</si>
  <si>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</si>
  <si>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</si>
  <si>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</si>
  <si>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</si>
  <si>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</si>
  <si>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</si>
  <si>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</si>
  <si>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</si>
  <si>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</si>
  <si>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</si>
  <si>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</si>
  <si>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</si>
  <si>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</si>
  <si>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</si>
  <si>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</si>
  <si>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</si>
  <si>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</si>
  <si>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</si>
  <si>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</si>
  <si>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</si>
  <si>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</si>
  <si>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</si>
  <si>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</si>
  <si>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</si>
  <si>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</si>
  <si>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</si>
  <si>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</si>
  <si>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</si>
  <si>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</si>
  <si>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</si>
  <si>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</si>
  <si>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</si>
  <si>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</si>
  <si>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</si>
  <si>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</si>
  <si>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</si>
  <si>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</si>
  <si>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</si>
  <si>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</si>
  <si>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</si>
  <si>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</si>
  <si>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</si>
  <si>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</si>
  <si>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</si>
  <si>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</si>
  <si>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</si>
  <si>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</si>
  <si>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</si>
  <si>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</si>
  <si>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</si>
  <si>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</si>
  <si>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</si>
  <si>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</si>
  <si>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</si>
  <si>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</si>
  <si>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</si>
  <si>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</si>
  <si>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</si>
  <si>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</si>
  <si>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</si>
  <si>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</si>
  <si>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</si>
  <si>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</si>
  <si>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</si>
  <si>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</si>
  <si>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</si>
  <si>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</si>
  <si>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</si>
  <si>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</si>
  <si>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</si>
  <si>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</si>
  <si>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</si>
  <si>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</si>
  <si>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</si>
  <si>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</si>
  <si>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</si>
  <si>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</si>
  <si>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</si>
  <si>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</si>
  <si>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</si>
  <si>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</si>
  <si>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</si>
  <si>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</si>
  <si>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</si>
  <si>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</si>
  <si>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</si>
  <si>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</si>
  <si>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</si>
  <si>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</si>
  <si>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</si>
  <si>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</si>
  <si>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</si>
  <si>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</si>
  <si>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</si>
  <si>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</si>
  <si>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</si>
  <si>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</si>
  <si>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</si>
  <si>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</si>
  <si>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</si>
  <si>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</si>
  <si>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</si>
  <si>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</si>
  <si>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</si>
  <si>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</si>
  <si>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</si>
  <si>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</si>
  <si>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</si>
  <si>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</si>
  <si>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</si>
  <si>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</si>
  <si>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</si>
  <si>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</si>
  <si>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</si>
  <si>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</si>
  <si>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</si>
  <si>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</si>
  <si>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</si>
  <si>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</si>
  <si>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</si>
  <si>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</si>
  <si>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</si>
  <si>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</si>
  <si>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</si>
  <si>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</si>
  <si>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</si>
  <si>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</si>
  <si>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</si>
  <si>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</si>
  <si>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</si>
  <si>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</si>
  <si>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</si>
  <si>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</si>
  <si>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</si>
  <si>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</si>
  <si>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</si>
  <si>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</si>
  <si>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</si>
  <si>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</si>
  <si>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</si>
  <si>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</si>
  <si>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</si>
  <si>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</si>
  <si>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</si>
  <si>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</si>
  <si>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</si>
  <si>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</si>
  <si>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</si>
  <si>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</si>
  <si>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</si>
  <si>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</si>
  <si>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</si>
  <si>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</si>
  <si>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</si>
  <si>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</si>
  <si>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</si>
  <si>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</si>
  <si>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</si>
  <si>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</si>
  <si>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</si>
  <si>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</si>
  <si>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</si>
  <si>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</si>
  <si>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</si>
  <si>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</si>
  <si>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</si>
  <si>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</si>
  <si>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</si>
  <si>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</si>
  <si>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</si>
  <si>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</si>
  <si>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</si>
  <si>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</si>
  <si>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</si>
  <si>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</si>
  <si>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</si>
  <si>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</si>
  <si>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</si>
  <si>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</si>
  <si>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</si>
  <si>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</si>
  <si>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</si>
  <si>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</si>
  <si>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</si>
  <si>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</si>
  <si>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</si>
  <si>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</si>
  <si>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</si>
  <si>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</si>
  <si>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</si>
  <si>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</si>
  <si>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</si>
  <si>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</si>
  <si>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</si>
  <si>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</si>
  <si>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</si>
  <si>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</si>
  <si>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</si>
  <si>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</si>
  <si>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</si>
  <si>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</si>
  <si>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</si>
  <si>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</si>
  <si>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</si>
  <si>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</si>
  <si>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</si>
  <si>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</si>
  <si>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</si>
  <si>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</si>
  <si>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</si>
  <si>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</si>
  <si>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</si>
  <si>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</si>
  <si>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</si>
  <si>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</si>
  <si>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</si>
  <si>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</si>
  <si>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</si>
  <si>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</si>
  <si>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</si>
  <si>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</si>
  <si>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</si>
  <si>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</si>
  <si>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</si>
  <si>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</si>
  <si>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</si>
  <si>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</si>
  <si>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</si>
  <si>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</si>
  <si>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</si>
  <si>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</si>
  <si>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</si>
  <si>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</si>
  <si>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</si>
  <si>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</si>
  <si>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</si>
  <si>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</si>
  <si>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</si>
  <si>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</si>
  <si>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</si>
  <si>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</si>
  <si>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</si>
  <si>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</si>
  <si>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</si>
  <si>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</si>
  <si>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</si>
  <si>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</si>
  <si>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</si>
  <si>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</si>
  <si>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</si>
  <si>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</si>
  <si>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</si>
  <si>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</si>
  <si>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</si>
  <si>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</si>
  <si>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</si>
  <si>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</si>
  <si>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</si>
  <si>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</si>
  <si>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</si>
  <si>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</si>
  <si>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</si>
  <si>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</si>
  <si>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</si>
  <si>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</si>
  <si>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</si>
  <si>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</si>
  <si>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</si>
  <si>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</si>
  <si>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</si>
  <si>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</si>
  <si>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</si>
  <si>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</si>
  <si>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</si>
  <si>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</si>
  <si>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</si>
  <si>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</si>
  <si>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</si>
  <si>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</si>
  <si>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</si>
  <si>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</si>
  <si>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</si>
  <si>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</si>
  <si>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</si>
  <si>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</si>
  <si>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</si>
  <si>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</si>
  <si>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</si>
  <si>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</si>
  <si>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</si>
  <si>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</si>
  <si>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</si>
  <si>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</si>
  <si>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</si>
  <si>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</si>
  <si>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</si>
  <si>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</si>
  <si>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</si>
  <si>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</si>
  <si>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</si>
  <si>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</si>
  <si>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</si>
  <si>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</si>
  <si>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</si>
  <si>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</si>
  <si>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</si>
  <si>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</si>
  <si>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</si>
  <si>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</si>
  <si>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</si>
  <si>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</si>
  <si>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</si>
  <si>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</si>
  <si>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</si>
  <si>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</si>
  <si>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</si>
  <si>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</si>
  <si>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</si>
  <si>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</si>
  <si>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</si>
  <si>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</si>
  <si>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</si>
  <si>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</si>
  <si>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</si>
  <si>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</si>
  <si>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</si>
  <si>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</si>
  <si>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</si>
  <si>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</si>
  <si>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</si>
  <si>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</si>
  <si>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</si>
  <si>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</si>
  <si>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</si>
  <si>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</si>
  <si>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</si>
  <si>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</si>
  <si>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</si>
  <si>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</si>
  <si>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</si>
  <si>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</si>
  <si>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</si>
  <si>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</si>
  <si>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</si>
  <si>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</si>
  <si>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</si>
  <si>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</si>
  <si>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</si>
  <si>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</si>
  <si>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</si>
  <si>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</si>
  <si>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</si>
  <si>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</si>
  <si>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</si>
  <si>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</si>
  <si>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</si>
  <si>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</si>
  <si>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</si>
  <si>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</si>
  <si>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</si>
  <si>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</si>
  <si>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</si>
  <si>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</si>
  <si>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</si>
  <si>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</si>
  <si>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</si>
  <si>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</si>
  <si>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</si>
  <si>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</si>
  <si>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</si>
  <si>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</si>
  <si>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</si>
  <si>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</si>
  <si>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</si>
  <si>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</si>
  <si>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</si>
  <si>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</si>
  <si>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</si>
  <si>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</si>
  <si>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</si>
  <si>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</si>
  <si>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</si>
  <si>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</si>
  <si>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</si>
  <si>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</si>
  <si>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</si>
  <si>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</si>
  <si>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</si>
  <si>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</si>
  <si>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</si>
  <si>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</si>
  <si>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</si>
  <si>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</si>
  <si>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</si>
  <si>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</si>
  <si>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</si>
  <si>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</si>
  <si>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</si>
  <si>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</si>
  <si>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</si>
  <si>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</si>
  <si>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</si>
  <si>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</si>
  <si>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</si>
  <si>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</si>
  <si>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</si>
  <si>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</si>
  <si>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</si>
  <si>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</si>
  <si>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</si>
  <si>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</si>
  <si>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</si>
  <si>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</si>
  <si>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</si>
  <si>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</si>
  <si>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</si>
  <si>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</si>
  <si>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</si>
  <si>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</si>
  <si>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</si>
  <si>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</si>
  <si>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</si>
  <si>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</si>
  <si>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</si>
  <si>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</si>
  <si>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</si>
  <si>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</si>
  <si>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</si>
  <si>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</si>
  <si>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</si>
  <si>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</si>
  <si>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</si>
  <si>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</si>
  <si>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</si>
  <si>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</si>
  <si>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</si>
  <si>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</si>
  <si>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</si>
  <si>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</si>
  <si>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</si>
  <si>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</si>
  <si>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</si>
  <si>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</si>
  <si>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</si>
  <si>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</si>
  <si>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</si>
  <si>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</si>
  <si>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</si>
  <si>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</si>
  <si>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</si>
  <si>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</si>
  <si>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</si>
  <si>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</si>
  <si>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</si>
  <si>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</si>
  <si>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</si>
  <si>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</si>
  <si>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</si>
  <si>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</si>
  <si>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</si>
  <si>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</si>
  <si>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</si>
  <si>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</si>
  <si>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</si>
  <si>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</si>
  <si>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</si>
  <si>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</si>
  <si>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</si>
  <si>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</si>
  <si>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</si>
  <si>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</si>
  <si>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</si>
  <si>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</si>
  <si>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</si>
  <si>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</si>
  <si>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</si>
  <si>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</si>
  <si>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</si>
  <si>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</si>
  <si>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</si>
  <si>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</si>
  <si>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</si>
  <si>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</si>
  <si>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</si>
  <si>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</si>
  <si>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</si>
  <si>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</si>
  <si>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</si>
  <si>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</si>
  <si>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</si>
  <si>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</si>
  <si>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</si>
  <si>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</si>
  <si>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</si>
  <si>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</si>
  <si>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</si>
  <si>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</si>
  <si>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</si>
  <si>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</si>
  <si>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</si>
  <si>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</si>
  <si>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</si>
  <si>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</si>
  <si>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</si>
  <si>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</si>
  <si>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</si>
  <si>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</si>
  <si>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</si>
  <si>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</si>
  <si>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</si>
  <si>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</si>
  <si>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</si>
  <si>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</si>
  <si>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</si>
  <si>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</si>
  <si>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</si>
  <si>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</si>
  <si>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</si>
  <si>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</si>
  <si>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</si>
  <si>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</si>
  <si>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</si>
  <si>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</si>
  <si>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</si>
  <si>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</si>
  <si>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</si>
  <si>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</si>
  <si>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</si>
  <si>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</si>
  <si>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</si>
  <si>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</si>
  <si>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</si>
  <si>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</si>
  <si>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</si>
  <si>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</si>
  <si>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</si>
  <si>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</si>
  <si>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</si>
  <si>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</si>
  <si>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</si>
  <si>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</si>
  <si>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</si>
  <si>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</si>
  <si>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</si>
  <si>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</si>
  <si>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</si>
  <si>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</si>
  <si>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</si>
  <si>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</si>
  <si>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</si>
  <si>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</si>
  <si>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</si>
  <si>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</si>
  <si>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</si>
  <si>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</si>
  <si>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</si>
  <si>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</si>
  <si>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</si>
  <si>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</si>
  <si>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</si>
  <si>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</si>
  <si>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</si>
  <si>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</si>
  <si>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</si>
  <si>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</si>
  <si>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</si>
  <si>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</si>
  <si>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</si>
  <si>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</si>
  <si>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</si>
  <si>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</si>
  <si>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</si>
  <si>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</si>
  <si>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</si>
  <si>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</si>
  <si>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</si>
  <si>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</si>
  <si>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</si>
  <si>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</si>
  <si>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</si>
  <si>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</si>
  <si>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</si>
  <si>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</si>
  <si>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</si>
  <si>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</si>
  <si>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</si>
  <si>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</si>
  <si>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</si>
  <si>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</si>
  <si>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</si>
  <si>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</si>
  <si>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</si>
  <si>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</si>
  <si>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</si>
  <si>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</si>
  <si>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</si>
  <si>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</si>
  <si>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</si>
  <si>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</si>
  <si>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</si>
  <si>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</si>
  <si>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</si>
  <si>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</si>
  <si>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</si>
  <si>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</si>
  <si>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</si>
  <si>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</si>
  <si>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</si>
  <si>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</si>
  <si>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</si>
  <si>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</si>
  <si>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</si>
  <si>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</si>
  <si>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</si>
  <si>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</si>
  <si>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</si>
  <si>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</si>
  <si>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</si>
  <si>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</si>
  <si>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</si>
  <si>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</si>
  <si>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</si>
  <si>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</si>
  <si>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</si>
  <si>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</si>
  <si>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</si>
  <si>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</si>
  <si>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</si>
  <si>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</si>
  <si>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</si>
  <si>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</si>
  <si>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</si>
  <si>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</si>
  <si>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</si>
  <si>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</si>
  <si>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</si>
  <si>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</si>
  <si>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</si>
  <si>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</si>
  <si>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</si>
  <si>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</si>
  <si>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</si>
  <si>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</si>
  <si>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</si>
  <si>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</si>
  <si>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</si>
  <si>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</si>
  <si>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</si>
  <si>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</si>
  <si>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</si>
  <si>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</si>
  <si>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</si>
  <si>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</si>
  <si>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</si>
  <si>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</si>
  <si>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</si>
  <si>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</si>
  <si>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</si>
  <si>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</si>
  <si>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</si>
  <si>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</si>
  <si>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</si>
  <si>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</si>
  <si>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</si>
  <si>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</si>
  <si>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</si>
  <si>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</si>
  <si>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</si>
  <si>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</si>
  <si>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</si>
  <si>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</si>
  <si>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</si>
  <si>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</si>
  <si>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</si>
  <si>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</si>
  <si>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</si>
  <si>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</si>
  <si>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</si>
  <si>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</si>
  <si>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</si>
  <si>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</si>
  <si>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</si>
  <si>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</si>
  <si>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</si>
  <si>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</si>
  <si>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</si>
  <si>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</si>
  <si>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</si>
  <si>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</si>
  <si>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</si>
  <si>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</si>
  <si>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</si>
  <si>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</si>
  <si>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</si>
  <si>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</si>
  <si>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</si>
  <si>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</si>
  <si>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</si>
  <si>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</si>
  <si>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</si>
  <si>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</si>
  <si>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</si>
  <si>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</si>
  <si>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</si>
  <si>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</si>
  <si>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</si>
  <si>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</si>
  <si>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</si>
  <si>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</si>
  <si>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</si>
  <si>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</si>
  <si>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</si>
  <si>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</si>
  <si>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</si>
  <si>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</si>
  <si>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</si>
  <si>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</si>
  <si>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</si>
  <si>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</si>
  <si>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</si>
  <si>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</si>
  <si>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</si>
  <si>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</si>
  <si>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</si>
  <si>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</si>
  <si>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</si>
  <si>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</si>
  <si>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</si>
  <si>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</si>
  <si>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</si>
  <si>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</si>
  <si>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</si>
  <si>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</si>
  <si>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</si>
  <si>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</si>
  <si>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</si>
  <si>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</si>
  <si>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</si>
  <si>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</si>
  <si>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</si>
  <si>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</si>
  <si>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</si>
  <si>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</si>
  <si>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</si>
  <si>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</si>
  <si>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</si>
  <si>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</si>
  <si>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</si>
  <si>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</si>
  <si>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</si>
  <si>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</si>
  <si>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</si>
  <si>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</si>
  <si>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</si>
  <si>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</si>
  <si>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</si>
  <si>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</si>
  <si>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</si>
  <si>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</si>
  <si>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</si>
  <si>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</si>
  <si>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</si>
  <si>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</si>
  <si>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</si>
  <si>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</si>
  <si>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</si>
  <si>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</si>
  <si>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</si>
  <si>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</si>
  <si>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</si>
  <si>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</si>
  <si>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</si>
  <si>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</si>
  <si>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</si>
  <si>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</si>
  <si>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</si>
  <si>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</si>
  <si>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</si>
  <si>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</si>
  <si>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</si>
  <si>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</si>
  <si>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</si>
  <si>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</si>
  <si>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</si>
  <si>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</si>
  <si>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</si>
  <si>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</si>
  <si>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</si>
  <si>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</si>
  <si>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</si>
  <si>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</si>
  <si>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</si>
  <si>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</si>
  <si>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</si>
  <si>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</si>
  <si>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</si>
  <si>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</si>
  <si>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</si>
  <si>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</si>
  <si>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</si>
  <si>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</si>
  <si>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</si>
  <si>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</si>
  <si>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</si>
  <si>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</si>
  <si>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</si>
  <si>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</si>
  <si>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</si>
  <si>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</si>
  <si>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</si>
  <si>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</si>
  <si>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</si>
  <si>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</si>
  <si>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</si>
  <si>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</si>
  <si>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</si>
  <si>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</si>
  <si>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</si>
  <si>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</si>
  <si>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</si>
  <si>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</si>
  <si>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</si>
  <si>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</si>
  <si>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</si>
  <si>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</si>
  <si>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</si>
  <si>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</si>
  <si>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</si>
  <si>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</si>
  <si>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</si>
  <si>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</si>
  <si>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</si>
  <si>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</si>
  <si>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</si>
  <si>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</si>
  <si>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</si>
  <si>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</si>
  <si>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</si>
  <si>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</si>
  <si>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</si>
  <si>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</si>
  <si>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</si>
  <si>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</si>
  <si>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</si>
  <si>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</si>
  <si>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</si>
  <si>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</si>
  <si>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</si>
  <si>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</si>
  <si>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</si>
  <si>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</si>
  <si>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</si>
  <si>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</si>
  <si>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</si>
  <si>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</si>
  <si>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</si>
  <si>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</si>
  <si>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</si>
  <si>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</si>
  <si>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</si>
  <si>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</si>
  <si>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</si>
  <si>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</si>
  <si>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</si>
  <si>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</si>
  <si>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</si>
  <si>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</si>
  <si>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</si>
  <si>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</si>
  <si>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</si>
  <si>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</si>
  <si>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</si>
  <si>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</si>
  <si>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</si>
  <si>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</si>
  <si>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</si>
  <si>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</si>
  <si>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</si>
  <si>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</si>
  <si>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</si>
  <si>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</si>
  <si>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</si>
  <si>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</si>
  <si>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</si>
  <si>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</si>
  <si>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</si>
  <si>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</si>
  <si>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</si>
  <si>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</si>
  <si>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</si>
  <si>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</si>
  <si>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</si>
  <si>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</si>
  <si>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</si>
  <si>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</si>
  <si>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</si>
  <si>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</si>
  <si>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</si>
  <si>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</si>
  <si>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</si>
  <si>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</si>
  <si>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</si>
  <si>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</si>
  <si>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</si>
  <si>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</si>
  <si>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</si>
  <si>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</si>
  <si>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</si>
  <si>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</si>
  <si>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</si>
  <si>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</si>
  <si>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</si>
  <si>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</si>
  <si>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</si>
  <si>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</si>
  <si>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</si>
  <si>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</si>
  <si>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</si>
  <si>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</si>
  <si>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</si>
  <si>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</si>
  <si>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</si>
  <si>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</si>
  <si>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</si>
  <si>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</si>
  <si>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</si>
  <si>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</si>
  <si>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</si>
  <si>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</si>
  <si>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</si>
  <si>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</si>
  <si>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</si>
  <si>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</si>
  <si>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</si>
  <si>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</si>
  <si>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</si>
  <si>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</si>
  <si>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</si>
  <si>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</si>
  <si>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</si>
  <si>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</si>
  <si>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</si>
  <si>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</si>
  <si>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</si>
  <si>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</si>
  <si>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</si>
  <si>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</si>
  <si>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</si>
  <si>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</si>
  <si>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</si>
  <si>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</si>
  <si>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</si>
  <si>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</si>
  <si>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</si>
  <si>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</si>
  <si>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</si>
  <si>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</si>
  <si>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</si>
  <si>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</si>
  <si>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</si>
  <si>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</si>
  <si>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</si>
  <si>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</si>
  <si>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</si>
  <si>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</si>
  <si>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</si>
  <si>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</si>
  <si>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</si>
  <si>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</si>
  <si>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</si>
  <si>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</si>
  <si>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</si>
  <si>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</si>
  <si>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</si>
  <si>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</si>
  <si>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</si>
  <si>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</si>
  <si>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</si>
  <si>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</si>
  <si>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</si>
  <si>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</si>
  <si>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</si>
  <si>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</si>
  <si>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</si>
  <si>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</si>
  <si>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</si>
  <si>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</si>
  <si>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</si>
  <si>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</si>
  <si>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</si>
  <si>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</si>
  <si>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</si>
  <si>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</si>
  <si>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</si>
  <si>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</si>
  <si>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</si>
  <si>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</si>
  <si>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</si>
  <si>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</si>
  <si>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</si>
  <si>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</si>
  <si>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</si>
  <si>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</si>
  <si>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</si>
  <si>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</si>
  <si>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</si>
  <si>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</si>
  <si>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</si>
  <si>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</si>
  <si>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</si>
  <si>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</si>
  <si>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</si>
  <si>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</si>
  <si>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</si>
  <si>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</si>
  <si>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</si>
  <si>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</si>
  <si>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</si>
  <si>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</si>
  <si>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</si>
  <si>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</si>
  <si>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</si>
  <si>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</si>
  <si>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</si>
  <si>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</si>
  <si>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</si>
  <si>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</si>
  <si>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</si>
  <si>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</si>
  <si>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</si>
  <si>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</si>
  <si>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</si>
  <si>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</si>
  <si>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</si>
  <si>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</si>
  <si>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</si>
  <si>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</si>
  <si>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</si>
  <si>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</si>
  <si>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</si>
  <si>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</si>
  <si>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</si>
  <si>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</si>
  <si>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</si>
  <si>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</si>
  <si>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</si>
  <si>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</si>
  <si>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</si>
  <si>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</si>
  <si>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</si>
  <si>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</si>
  <si>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</si>
  <si>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</si>
  <si>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</si>
  <si>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</si>
  <si>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</si>
  <si>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</si>
  <si>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</si>
  <si>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</si>
  <si>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</si>
  <si>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</si>
  <si>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</si>
  <si>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</si>
  <si>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</si>
  <si>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</si>
  <si>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</si>
  <si>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</si>
  <si>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</si>
  <si>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</si>
  <si>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</si>
  <si>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</si>
  <si>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</si>
  <si>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</si>
  <si>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</si>
  <si>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</si>
  <si>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</si>
  <si>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</si>
  <si>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</si>
  <si>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</si>
  <si>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</si>
  <si>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</si>
  <si>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</si>
  <si>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</si>
  <si>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</si>
  <si>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</si>
  <si>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</si>
  <si>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</si>
  <si>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</si>
  <si>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</si>
  <si>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</si>
  <si>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</si>
  <si>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</si>
  <si>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</si>
  <si>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</si>
  <si>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</si>
  <si>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</si>
  <si>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</si>
  <si>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</si>
  <si>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</si>
  <si>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</si>
  <si>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</si>
  <si>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</si>
  <si>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</si>
  <si>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</si>
  <si>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</si>
  <si>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</si>
  <si>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</si>
  <si>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</si>
  <si>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</si>
  <si>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</si>
  <si>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</si>
  <si>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</si>
  <si>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</si>
  <si>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</si>
  <si>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</si>
  <si>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</si>
  <si>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</si>
  <si>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</si>
  <si>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</si>
  <si>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</si>
  <si>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</si>
  <si>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</si>
  <si>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</si>
  <si>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</si>
  <si>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</si>
  <si>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</si>
  <si>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</si>
  <si>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</si>
  <si>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</si>
  <si>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</si>
  <si>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</si>
  <si>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</si>
  <si>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</si>
  <si>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</si>
  <si>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</si>
  <si>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</si>
  <si>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</si>
  <si>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</si>
  <si>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</si>
  <si>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</si>
  <si>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</si>
  <si>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</si>
  <si>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</si>
  <si>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</si>
  <si>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</si>
  <si>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</si>
  <si>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</si>
  <si>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</si>
  <si>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</si>
  <si>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</si>
  <si>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</si>
  <si>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</si>
  <si>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</si>
  <si>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</si>
  <si>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</si>
  <si>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</si>
  <si>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</si>
  <si>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</si>
  <si>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</si>
  <si>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</si>
  <si>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</si>
  <si>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</si>
  <si>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</si>
  <si>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</si>
  <si>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</si>
  <si>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</si>
  <si>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</si>
  <si>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</si>
  <si>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</si>
  <si>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</si>
  <si>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</si>
  <si>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</si>
  <si>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</si>
  <si>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</si>
  <si>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</si>
  <si>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</si>
  <si>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</si>
  <si>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</si>
  <si>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</si>
  <si>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</si>
  <si>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</si>
  <si>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</si>
  <si>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</si>
  <si>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</si>
  <si>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</si>
  <si>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</si>
  <si>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</si>
  <si>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</si>
  <si>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</si>
  <si>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</si>
  <si>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</si>
  <si>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</si>
  <si>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</si>
  <si>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</si>
  <si>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</si>
  <si>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</si>
  <si>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</si>
  <si>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</si>
  <si>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</si>
  <si>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</si>
  <si>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</si>
  <si>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</si>
  <si>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</si>
  <si>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</si>
  <si>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</si>
  <si>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</si>
  <si>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</si>
  <si>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</si>
  <si>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</si>
  <si>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</si>
  <si>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</si>
  <si>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</si>
  <si>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</si>
  <si>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</si>
  <si>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</si>
  <si>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</si>
  <si>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</si>
  <si>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</si>
  <si>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</si>
  <si>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</si>
  <si>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</si>
  <si>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</si>
  <si>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</si>
  <si>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</si>
  <si>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</si>
  <si>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</si>
  <si>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</si>
  <si>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</si>
  <si>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</si>
  <si>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</si>
  <si>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</si>
  <si>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</si>
  <si>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</si>
  <si>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</si>
  <si>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</si>
  <si>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</si>
  <si>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</si>
  <si>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</si>
  <si>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</si>
  <si>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</si>
  <si>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</si>
  <si>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</si>
  <si>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</si>
  <si>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</si>
  <si>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</si>
  <si>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</si>
  <si>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</si>
  <si>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</si>
  <si>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</si>
  <si>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</si>
  <si>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</si>
  <si>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</si>
  <si>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</si>
  <si>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</si>
  <si>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</si>
  <si>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</si>
  <si>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</si>
  <si>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</si>
  <si>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</si>
  <si>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</si>
  <si>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</si>
  <si>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</si>
  <si>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</si>
  <si>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</si>
  <si>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</si>
  <si>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</si>
  <si>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</si>
  <si>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</si>
  <si>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</si>
  <si>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</si>
  <si>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</si>
  <si>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</si>
  <si>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Gardon d'Alès</t>
  </si>
  <si>
    <t xml:space="preserve">Saint Hilaire de Brethmas</t>
  </si>
  <si>
    <t xml:space="preserve">06128000</t>
  </si>
  <si>
    <t xml:space="preserve">RCS LR 2015</t>
  </si>
  <si>
    <t xml:space="preserve">radier</t>
  </si>
  <si>
    <t xml:space="preserve">pl. lent</t>
  </si>
  <si>
    <t xml:space="preserve">élevé</t>
  </si>
  <si>
    <t xml:space="preserve">Cf.</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</si>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</sst>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44" activeCellId="0" sqref="W4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42208</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8.52631578947369</v>
      </c>
      <c r="N5" s="352"/>
      <c r="O5" s="353" t="s">
        <v>132</v>
      </c>
      <c r="P5" s="354" t="n">
        <v>9.2</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3</v>
      </c>
      <c r="P6" s="366" t="s">
        <v>3460</v>
      </c>
      <c r="Q6" s="367"/>
      <c r="R6" s="309"/>
      <c r="S6" s="309"/>
      <c r="T6" s="309"/>
      <c r="U6" s="309"/>
      <c r="V6" s="309"/>
      <c r="W6" s="323"/>
    </row>
    <row r="7" customFormat="false" ht="12.75" hidden="false" customHeight="false" outlineLevel="0" collapsed="false">
      <c r="A7" s="368" t="s">
        <v>3388</v>
      </c>
      <c r="B7" s="369" t="n">
        <v>17</v>
      </c>
      <c r="C7" s="370" t="n">
        <v>83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v>
      </c>
      <c r="P8" s="384" t="n">
        <f aca="false">IF(ISERROR(AVERAGE(K23:K82)),"  ",AVERAGE(K23:K82))</f>
        <v>1.375</v>
      </c>
      <c r="Q8" s="385"/>
      <c r="R8" s="309"/>
      <c r="S8" s="309"/>
      <c r="T8" s="309"/>
      <c r="U8" s="309"/>
      <c r="V8" s="309"/>
      <c r="W8" s="323"/>
    </row>
    <row r="9" customFormat="false" ht="12.75" hidden="false" customHeight="false" outlineLevel="0" collapsed="false">
      <c r="A9" s="342" t="s">
        <v>3394</v>
      </c>
      <c r="B9" s="386" t="n">
        <v>20.4</v>
      </c>
      <c r="C9" s="387" t="n">
        <v>11.9</v>
      </c>
      <c r="D9" s="388"/>
      <c r="E9" s="388"/>
      <c r="F9" s="389" t="n">
        <f aca="false">($B9*$B$7+$C9*$C$7)/100</f>
        <v>13.345</v>
      </c>
      <c r="G9" s="390"/>
      <c r="H9" s="345"/>
      <c r="I9" s="309"/>
      <c r="J9" s="391"/>
      <c r="K9" s="392"/>
      <c r="L9" s="375"/>
      <c r="M9" s="393"/>
      <c r="N9" s="383" t="s">
        <v>3395</v>
      </c>
      <c r="O9" s="384" t="n">
        <f aca="false">IF(ISERROR(STDEVP(J23:J82))," ",STDEVP(J23:J82))</f>
        <v>2.78388218141501</v>
      </c>
      <c r="P9" s="384" t="n">
        <f aca="false">IF(ISERROR(STDEVP(K23:K82)),"  ",STDEVP(K23:K82))</f>
        <v>0.484122918275927</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14</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8</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8</v>
      </c>
      <c r="M15" s="409"/>
      <c r="N15" s="417" t="s">
        <v>3412</v>
      </c>
      <c r="O15" s="418" t="n">
        <f aca="false">COUNTIF(K23:K82,"=1")</f>
        <v>5</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0.571428571428571</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20.445</v>
      </c>
      <c r="C20" s="461" t="n">
        <f aca="false">SUM(C23:C62)</f>
        <v>11.88</v>
      </c>
      <c r="D20" s="462"/>
      <c r="E20" s="463" t="s">
        <v>3419</v>
      </c>
      <c r="F20" s="464" t="n">
        <f aca="false">($B20*$B$7+$C20*$C$7)/100</f>
        <v>13.33605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3.47565</v>
      </c>
      <c r="C21" s="472" t="n">
        <f aca="false">C20*C7/100</f>
        <v>9.8604</v>
      </c>
      <c r="D21" s="473" t="s">
        <v>3422</v>
      </c>
      <c r="E21" s="474"/>
      <c r="F21" s="475" t="n">
        <f aca="false">B21+C21</f>
        <v>13.33605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17</v>
      </c>
      <c r="C23" s="502" t="n">
        <v>11</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12.02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12.02</v>
      </c>
      <c r="S23" s="514" t="n">
        <f aca="false">IF(OR(ISTEXT(H23),R23=0),"",IF(R23&lt;0.1,1,IF(R23&lt;1,2,IF(R23&lt;10,3,IF(R23&lt;50,4,IF(R23&gt;=50,5,""))))))</f>
        <v>4</v>
      </c>
      <c r="T23" s="514" t="n">
        <f aca="false">IF(ISERROR(S23*J23),0,S23*J23)</f>
        <v>24</v>
      </c>
      <c r="U23" s="514" t="n">
        <f aca="false">IF(ISERROR(S23*J23*K23),0,S23*J23*K23)</f>
        <v>24</v>
      </c>
      <c r="V23" s="514" t="n">
        <f aca="false">IF(ISERROR(S23*K23),0,S23*K23)</f>
        <v>4</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242</v>
      </c>
      <c r="B24" s="519" t="n">
        <v>0.1</v>
      </c>
      <c r="C24" s="520" t="n">
        <v>0.1</v>
      </c>
      <c r="D24" s="521" t="str">
        <f aca="false">IF(ISERROR(VLOOKUP($A24,'liste reference'!$A$6:$B$1174,2,0)),IF(ISERROR(VLOOKUP($A24,'liste reference'!$B$6:$B$1174,1,0)),"",VLOOKUP($A24,'liste reference'!$B$6:$B$1174,1,0)),VLOOKUP($A24,'liste reference'!$A$6:$B$1174,2,0))</f>
        <v>Mougeotia sp.</v>
      </c>
      <c r="E24" s="522" t="e">
        <f aca="false">IF(D24="",0,VLOOKUP(D24,D$22:D23,1,0))</f>
        <v>#N/A</v>
      </c>
      <c r="F24" s="523" t="n">
        <f aca="false">IF(AND(OR(A24="",A24="!!!!!!"),B24="",C24=""),"",IF(OR(AND(B24="",C24=""),ISERROR(C24+B24)),"!!!",($B24*$B$7+$C24*$C$7)/100))</f>
        <v>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13</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Mougeotia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1146</v>
      </c>
      <c r="R24" s="513" t="n">
        <f aca="false">IF(ISTEXT(H24),"",(B24*$B$7/100)+(C24*$C$7/100))</f>
        <v>0.1</v>
      </c>
      <c r="S24" s="514" t="n">
        <f aca="false">IF(OR(ISTEXT(H24),R24=0),"",IF(R24&lt;0.1,1,IF(R24&lt;1,2,IF(R24&lt;10,3,IF(R24&lt;50,4,IF(R24&gt;=50,5,""))))))</f>
        <v>2</v>
      </c>
      <c r="T24" s="514" t="n">
        <f aca="false">IF(ISERROR(S24*J24),0,S24*J24)</f>
        <v>26</v>
      </c>
      <c r="U24" s="514" t="n">
        <f aca="false">IF(ISERROR(S24*J24*K24),0,S24*J24*K24)</f>
        <v>52</v>
      </c>
      <c r="V24" s="530" t="n">
        <f aca="false">IF(ISERROR(S24*K24),0,S24*K24)</f>
        <v>4</v>
      </c>
      <c r="W24" s="531"/>
      <c r="X24" s="532"/>
      <c r="Y24" s="517" t="str">
        <f aca="false">IF(AND(ISNUMBER(F24),OR(A24="",A24="!!!!!!")),"!!!!!!",IF(A24="new.cod","NEWCOD",IF(AND((Z24=""),ISTEXT(A24),A24&lt;&gt;"!!!!!!"),A24,IF(Z24="","",INDEX('liste reference'!$A$6:$A$1174,Z24)))))</f>
        <v>MOUSPX</v>
      </c>
      <c r="Z24" s="499" t="n">
        <f aca="false">IF(ISERROR(MATCH(A24,'liste reference'!$A$6:$A$1174,0)),IF(ISERROR(MATCH(A24,'liste reference'!$B$6:$B$1174,0)),"",(MATCH(A24,'liste reference'!$B$6:$B$1174,0))),(MATCH(A24,'liste reference'!$A$6:$A$1174,0)))</f>
        <v>68</v>
      </c>
    </row>
    <row r="25" customFormat="false" ht="12.75" hidden="false" customHeight="false" outlineLevel="0" collapsed="false">
      <c r="A25" s="518" t="s">
        <v>298</v>
      </c>
      <c r="B25" s="519" t="n">
        <v>1</v>
      </c>
      <c r="C25" s="520" t="n">
        <v>0.5</v>
      </c>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0.585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0.585</v>
      </c>
      <c r="S25" s="514" t="n">
        <f aca="false">IF(OR(ISTEXT(H25),R25=0),"",IF(R25&lt;0.1,1,IF(R25&lt;1,2,IF(R25&lt;10,3,IF(R25&lt;50,4,IF(R25&gt;=50,5,""))))))</f>
        <v>2</v>
      </c>
      <c r="T25" s="514" t="n">
        <f aca="false">IF(ISERROR(S25*J25),0,S25*J25)</f>
        <v>12</v>
      </c>
      <c r="U25" s="514" t="n">
        <f aca="false">IF(ISERROR(S25*J25*K25),0,S25*J25*K25)</f>
        <v>24</v>
      </c>
      <c r="V25" s="530" t="n">
        <f aca="false">IF(ISERROR(S25*K25),0,S25*K25)</f>
        <v>4</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341</v>
      </c>
      <c r="B26" s="519" t="n">
        <v>2</v>
      </c>
      <c r="C26" s="520" t="n">
        <v>0.2</v>
      </c>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0.506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0.506</v>
      </c>
      <c r="S26" s="514" t="n">
        <f aca="false">IF(OR(ISTEXT(H26),R26=0),"",IF(R26&lt;0.1,1,IF(R26&lt;1,2,IF(R26&lt;10,3,IF(R26&lt;50,4,IF(R26&gt;=50,5,""))))))</f>
        <v>2</v>
      </c>
      <c r="T26" s="514" t="n">
        <f aca="false">IF(ISERROR(S26*J26),0,S26*J26)</f>
        <v>20</v>
      </c>
      <c r="U26" s="514" t="n">
        <f aca="false">IF(ISERROR(S26*J26*K26),0,S26*J26*K26)</f>
        <v>20</v>
      </c>
      <c r="V26" s="530" t="n">
        <f aca="false">IF(ISERROR(S26*K26),0,S26*K26)</f>
        <v>2</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972</v>
      </c>
      <c r="B27" s="519" t="n">
        <v>0.05</v>
      </c>
      <c r="C27" s="520" t="n">
        <v>0.005</v>
      </c>
      <c r="D27" s="521" t="str">
        <f aca="false">IF(ISERROR(VLOOKUP($A27,'liste reference'!$A$6:$B$1174,2,0)),IF(ISERROR(VLOOKUP($A27,'liste reference'!$B$6:$B$1174,1,0)),"",VLOOKUP($A27,'liste reference'!$B$6:$B$1174,1,0)),VLOOKUP($A27,'liste reference'!$A$6:$B$1174,2,0))</f>
        <v>Leptodictyum riparium </v>
      </c>
      <c r="E27" s="522" t="e">
        <f aca="false">IF(D27="",0,VLOOKUP(D27,D$22:D26,1,0))</f>
        <v>#N/A</v>
      </c>
      <c r="F27" s="523" t="n">
        <f aca="false">IF(AND(OR(A27="",A27="!!!!!!"),B27="",C27=""),"",IF(OR(AND(B27="",C27=""),ISERROR(C27+B27)),"!!!",($B27*$B$7+$C27*$C$7)/100))</f>
        <v>0.01265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Leptodictyum riparium </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1244</v>
      </c>
      <c r="R27" s="513" t="n">
        <f aca="false">IF(ISTEXT(H27),"",(B27*$B$7/100)+(C27*$C$7/100))</f>
        <v>0.01265</v>
      </c>
      <c r="S27" s="514" t="n">
        <f aca="false">IF(OR(ISTEXT(H27),R27=0),"",IF(R27&lt;0.1,1,IF(R27&lt;1,2,IF(R27&lt;10,3,IF(R27&lt;50,4,IF(R27&gt;=50,5,""))))))</f>
        <v>1</v>
      </c>
      <c r="T27" s="514" t="n">
        <f aca="false">IF(ISERROR(S27*J27),0,S27*J27)</f>
        <v>5</v>
      </c>
      <c r="U27" s="514" t="n">
        <f aca="false">IF(ISERROR(S27*J27*K27),0,S27*J27*K27)</f>
        <v>10</v>
      </c>
      <c r="V27" s="530" t="n">
        <f aca="false">IF(ISERROR(S27*K27),0,S27*K27)</f>
        <v>2</v>
      </c>
      <c r="W27" s="531"/>
      <c r="X27" s="532"/>
      <c r="Y27" s="517" t="str">
        <f aca="false">IF(AND(ISNUMBER(F27),OR(A27="",A27="!!!!!!")),"!!!!!!",IF(A27="new.cod","NEWCOD",IF(AND((Z27=""),ISTEXT(A27),A27&lt;&gt;"!!!!!!"),A27,IF(Z27="","",INDEX('liste reference'!$A$6:$A$1174,Z27)))))</f>
        <v>LEORIP</v>
      </c>
      <c r="Z27" s="499" t="n">
        <f aca="false">IF(ISERROR(MATCH(A27,'liste reference'!$A$6:$A$1174,0)),IF(ISERROR(MATCH(A27,'liste reference'!$B$6:$B$1174,0)),"",(MATCH(A27,'liste reference'!$B$6:$B$1174,0))),(MATCH(A27,'liste reference'!$A$6:$A$1174,0)))</f>
        <v>298</v>
      </c>
    </row>
    <row r="28" customFormat="false" ht="12.75" hidden="false" customHeight="false" outlineLevel="0" collapsed="false">
      <c r="A28" s="518" t="s">
        <v>1253</v>
      </c>
      <c r="B28" s="519" t="n">
        <v>0.03</v>
      </c>
      <c r="C28" s="520" t="n">
        <v>0.005</v>
      </c>
      <c r="D28" s="521" t="str">
        <f aca="false">IF(ISERROR(VLOOKUP($A28,'liste reference'!$A$6:$B$1174,2,0)),IF(ISERROR(VLOOKUP($A28,'liste reference'!$B$6:$B$1174,1,0)),"",VLOOKUP($A28,'liste reference'!$B$6:$B$1174,1,0)),VLOOKUP($A28,'liste reference'!$A$6:$B$1174,2,0))</f>
        <v>Equisetum arvense</v>
      </c>
      <c r="E28" s="522" t="e">
        <f aca="false">IF(D28="",0,VLOOKUP(D28,D$22:D27,1,0))</f>
        <v>#N/A</v>
      </c>
      <c r="F28" s="523" t="n">
        <f aca="false">IF(AND(OR(A28="",A28="!!!!!!"),B28="",C28=""),"",IF(OR(AND(B28="",C28=""),ISERROR(C28+B28)),"!!!",($B28*$B$7+$C28*$C$7)/100))</f>
        <v>0.00925</v>
      </c>
      <c r="G28" s="524" t="str">
        <f aca="false">IF(A28="","",IF(ISERROR(VLOOKUP($A28,'liste reference'!$A$6:$Q$1174,9,0)),IF(ISERROR(VLOOKUP($A28,'liste reference'!$B$6:$Q$1174,8,0)),"    -",VLOOKUP($A28,'liste reference'!$B$6:$Q$1174,8,0)),VLOOKUP($A28,'liste reference'!$A$6:$Q$1174,9,0)))</f>
        <v>PTE</v>
      </c>
      <c r="H28" s="525" t="n">
        <f aca="false">IF(A28="","x",IF(ISERROR(VLOOKUP($A28,'liste reference'!$A$6:$Q$1174,10,0)),IF(ISERROR(VLOOKUP($A28,'liste reference'!$B$6:$Q$1174,9,0)),"x",VLOOKUP($A28,'liste reference'!$B$6:$Q$1174,9,0)),VLOOKUP($A28,'liste reference'!$A$6:$Q$1174,10,0)))</f>
        <v>6</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Equisetum arvense</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1384</v>
      </c>
      <c r="R28" s="513" t="n">
        <f aca="false">IF(ISTEXT(H28),"",(B28*$B$7/100)+(C28*$C$7/100))</f>
        <v>0.00925</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EQUARV</v>
      </c>
      <c r="Z28" s="499" t="n">
        <f aca="false">IF(ISERROR(MATCH(A28,'liste reference'!$A$6:$A$1174,0)),IF(ISERROR(MATCH(A28,'liste reference'!$B$6:$B$1174,0)),"",(MATCH(A28,'liste reference'!$B$6:$B$1174,0))),(MATCH(A28,'liste reference'!$A$6:$A$1174,0)))</f>
        <v>385</v>
      </c>
    </row>
    <row r="29" customFormat="false" ht="12.75" hidden="false" customHeight="false" outlineLevel="0" collapsed="false">
      <c r="A29" s="518" t="s">
        <v>1930</v>
      </c>
      <c r="B29" s="519" t="n">
        <v>0.01</v>
      </c>
      <c r="C29" s="520"/>
      <c r="D29" s="521" t="str">
        <f aca="false">IF(ISERROR(VLOOKUP($A29,'liste reference'!$A$6:$B$1174,2,0)),IF(ISERROR(VLOOKUP($A29,'liste reference'!$B$6:$B$1174,1,0)),"",VLOOKUP($A29,'liste reference'!$B$6:$B$1174,1,0)),VLOOKUP($A29,'liste reference'!$A$6:$B$1174,2,0))</f>
        <v>Agrostis stolonifera</v>
      </c>
      <c r="E29" s="522" t="e">
        <f aca="false">IF(D29="",0,VLOOKUP(D29,D$22:D28,1,0))</f>
        <v>#N/A</v>
      </c>
      <c r="F29" s="523" t="n">
        <f aca="false">IF(AND(OR(A29="",A29="!!!!!!"),B29="",C29=""),"",IF(OR(AND(B29="",C29=""),ISERROR(C29+B29)),"!!!",($B29*$B$7+$C29*$C$7)/100))</f>
        <v>0.0017</v>
      </c>
      <c r="G29" s="524" t="str">
        <f aca="false">IF(A29="","",IF(ISERROR(VLOOKUP($A29,'liste reference'!$A$6:$Q$1174,9,0)),IF(ISERROR(VLOOKUP($A29,'liste reference'!$B$6:$Q$1174,8,0)),"    -",VLOOKUP($A29,'liste reference'!$B$6:$Q$1174,8,0)),VLOOKUP($A29,'liste reference'!$A$6:$Q$1174,9,0)))</f>
        <v>PHe</v>
      </c>
      <c r="H29" s="525" t="n">
        <f aca="false">IF(A29="","x",IF(ISERROR(VLOOKUP($A29,'liste reference'!$A$6:$Q$1174,10,0)),IF(ISERROR(VLOOKUP($A29,'liste reference'!$B$6:$Q$1174,9,0)),"x",VLOOKUP($A29,'liste reference'!$B$6:$Q$1174,9,0)),VLOOKUP($A29,'liste reference'!$A$6:$Q$1174,10,0)))</f>
        <v>8</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Agrostis stolonifera</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1543</v>
      </c>
      <c r="R29" s="513" t="n">
        <f aca="false">IF(ISTEXT(H29),"",(B29*$B$7/100)+(C29*$C$7/100))</f>
        <v>0.0017</v>
      </c>
      <c r="S29" s="514" t="n">
        <f aca="false">IF(OR(ISTEXT(H29),R29=0),"",IF(R29&lt;0.1,1,IF(R29&lt;1,2,IF(R29&lt;10,3,IF(R29&lt;50,4,IF(R29&gt;=50,5,""))))))</f>
        <v>1</v>
      </c>
      <c r="T29" s="514" t="n">
        <f aca="false">IF(ISERROR(S29*J29),0,S29*J29)</f>
        <v>10</v>
      </c>
      <c r="U29" s="514" t="n">
        <f aca="false">IF(ISERROR(S29*J29*K29),0,S29*J29*K29)</f>
        <v>10</v>
      </c>
      <c r="V29" s="530" t="n">
        <f aca="false">IF(ISERROR(S29*K29),0,S29*K29)</f>
        <v>1</v>
      </c>
      <c r="W29" s="531"/>
      <c r="X29" s="532"/>
      <c r="Y29" s="517" t="str">
        <f aca="false">IF(AND(ISNUMBER(F29),OR(A29="",A29="!!!!!!")),"!!!!!!",IF(A29="new.cod","NEWCOD",IF(AND((Z29=""),ISTEXT(A29),A29&lt;&gt;"!!!!!!"),A29,IF(Z29="","",INDEX('liste reference'!$A$6:$A$1174,Z29)))))</f>
        <v>AGRSTO</v>
      </c>
      <c r="Z29" s="499" t="n">
        <f aca="false">IF(ISERROR(MATCH(A29,'liste reference'!$A$6:$A$1174,0)),IF(ISERROR(MATCH(A29,'liste reference'!$B$6:$B$1174,0)),"",(MATCH(A29,'liste reference'!$B$6:$B$1174,0))),(MATCH(A29,'liste reference'!$A$6:$A$1174,0)))</f>
        <v>623</v>
      </c>
    </row>
    <row r="30" customFormat="false" ht="12.75" hidden="false" customHeight="false" outlineLevel="0" collapsed="false">
      <c r="A30" s="518" t="s">
        <v>1941</v>
      </c>
      <c r="B30" s="519" t="n">
        <v>0.005</v>
      </c>
      <c r="C30" s="520"/>
      <c r="D30" s="521" t="str">
        <f aca="false">IF(ISERROR(VLOOKUP($A30,'liste reference'!$A$6:$B$1174,2,0)),IF(ISERROR(VLOOKUP($A30,'liste reference'!$B$6:$B$1174,1,0)),"",VLOOKUP($A30,'liste reference'!$B$6:$B$1174,1,0)),VLOOKUP($A30,'liste reference'!$A$6:$B$1174,2,0))</f>
        <v>Bolboschoenus maritimus</v>
      </c>
      <c r="E30" s="522" t="e">
        <f aca="false">IF(D30="",0,VLOOKUP(D30,D$22:D29,1,0))</f>
        <v>#N/A</v>
      </c>
      <c r="F30" s="523" t="n">
        <f aca="false">IF(AND(OR(A30="",A30="!!!!!!"),B30="",C30=""),"",IF(OR(AND(B30="",C30=""),ISERROR(C30+B30)),"!!!",($B30*$B$7+$C30*$C$7)/100))</f>
        <v>0.00085</v>
      </c>
      <c r="G30" s="524" t="str">
        <f aca="false">IF(A30="","",IF(ISERROR(VLOOKUP($A30,'liste reference'!$A$6:$Q$1174,9,0)),IF(ISERROR(VLOOKUP($A30,'liste reference'!$B$6:$Q$1174,8,0)),"    -",VLOOKUP($A30,'liste reference'!$B$6:$Q$1174,8,0)),VLOOKUP($A30,'liste reference'!$A$6:$Q$1174,9,0)))</f>
        <v>PHe</v>
      </c>
      <c r="H30" s="525" t="n">
        <f aca="false">IF(A30="","x",IF(ISERROR(VLOOKUP($A30,'liste reference'!$A$6:$Q$1174,10,0)),IF(ISERROR(VLOOKUP($A30,'liste reference'!$B$6:$Q$1174,9,0)),"x",VLOOKUP($A30,'liste reference'!$B$6:$Q$1174,9,0)),VLOOKUP($A30,'liste reference'!$A$6:$Q$1174,10,0)))</f>
        <v>8</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Bolboschoenus maritimus</v>
      </c>
      <c r="M30" s="527"/>
      <c r="N30" s="527"/>
      <c r="O30" s="527"/>
      <c r="P30" s="528" t="s">
        <v>3461</v>
      </c>
      <c r="Q30" s="529" t="n">
        <f aca="false">IF(OR($A30="NEWCOD",$A30="!!!!!!"),IF(X30="","NoCod",X30),IF($A30="","",IF(ISERROR(VLOOKUP($A30,'liste reference'!$A$6:$H$1174,8,FALSE())),IF(ISERROR(VLOOKUP($A30,'liste reference'!$B$6:$H$1174,7,FALSE())),"",VLOOKUP($A30,'liste reference'!$B$6:$H$1174,7,FALSE())),VLOOKUP($A30,'liste reference'!$A$6:$H$1174,8,FALSE()))))</f>
        <v>19533</v>
      </c>
      <c r="R30" s="513" t="n">
        <f aca="false">IF(ISTEXT(H30),"",(B30*$B$7/100)+(C30*$C$7/100))</f>
        <v>0.00085</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BOLMAR</v>
      </c>
      <c r="Z30" s="499" t="n">
        <f aca="false">IF(ISERROR(MATCH(A30,'liste reference'!$A$6:$A$1174,0)),IF(ISERROR(MATCH(A30,'liste reference'!$B$6:$B$1174,0)),"",(MATCH(A30,'liste reference'!$B$6:$B$1174,0))),(MATCH(A30,'liste reference'!$A$6:$A$1174,0)))</f>
        <v>626</v>
      </c>
    </row>
    <row r="31" customFormat="false" ht="12.75" hidden="false" customHeight="false" outlineLevel="0" collapsed="false">
      <c r="A31" s="518" t="s">
        <v>2134</v>
      </c>
      <c r="B31" s="519"/>
      <c r="C31" s="520" t="n">
        <v>0.005</v>
      </c>
      <c r="D31" s="521" t="str">
        <f aca="false">IF(ISERROR(VLOOKUP($A31,'liste reference'!$A$6:$B$1174,2,0)),IF(ISERROR(VLOOKUP($A31,'liste reference'!$B$6:$B$1174,1,0)),"",VLOOKUP($A31,'liste reference'!$B$6:$B$1174,1,0)),VLOOKUP($A31,'liste reference'!$A$6:$B$1174,2,0))</f>
        <v>Mentha aquatica</v>
      </c>
      <c r="E31" s="522" t="e">
        <f aca="false">IF(D31="",0,VLOOKUP(D31,D$22:D30,1,0))</f>
        <v>#N/A</v>
      </c>
      <c r="F31" s="523" t="n">
        <f aca="false">IF(AND(OR(A31="",A31="!!!!!!"),B31="",C31=""),"",IF(OR(AND(B31="",C31=""),ISERROR(C31+B31)),"!!!",($B31*$B$7+$C31*$C$7)/100))</f>
        <v>0.00415</v>
      </c>
      <c r="G31" s="524" t="str">
        <f aca="false">IF(A31="","",IF(ISERROR(VLOOKUP($A31,'liste reference'!$A$6:$Q$1174,9,0)),IF(ISERROR(VLOOKUP($A31,'liste reference'!$B$6:$Q$1174,8,0)),"    -",VLOOKUP($A31,'liste reference'!$B$6:$Q$1174,8,0)),VLOOKUP($A31,'liste reference'!$A$6:$Q$1174,9,0)))</f>
        <v>PHe</v>
      </c>
      <c r="H31" s="525" t="n">
        <f aca="false">IF(A31="","x",IF(ISERROR(VLOOKUP($A31,'liste reference'!$A$6:$Q$1174,10,0)),IF(ISERROR(VLOOKUP($A31,'liste reference'!$B$6:$Q$1174,9,0)),"x",VLOOKUP($A31,'liste reference'!$B$6:$Q$1174,9,0)),VLOOKUP($A31,'liste reference'!$A$6:$Q$1174,10,0)))</f>
        <v>8</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Mentha aquatica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1791</v>
      </c>
      <c r="R31" s="513" t="n">
        <f aca="false">IF(ISTEXT(H31),"",(B31*$B$7/100)+(C31*$C$7/100))</f>
        <v>0.00415</v>
      </c>
      <c r="S31" s="514" t="n">
        <f aca="false">IF(OR(ISTEXT(H31),R31=0),"",IF(R31&lt;0.1,1,IF(R31&lt;1,2,IF(R31&lt;10,3,IF(R31&lt;50,4,IF(R31&gt;=50,5,""))))))</f>
        <v>1</v>
      </c>
      <c r="T31" s="514" t="n">
        <f aca="false">IF(ISERROR(S31*J31),0,S31*J31)</f>
        <v>12</v>
      </c>
      <c r="U31" s="514" t="n">
        <f aca="false">IF(ISERROR(S31*J31*K31),0,S31*J31*K31)</f>
        <v>12</v>
      </c>
      <c r="V31" s="530" t="n">
        <f aca="false">IF(ISERROR(S31*K31),0,S31*K31)</f>
        <v>1</v>
      </c>
      <c r="W31" s="531"/>
      <c r="X31" s="532"/>
      <c r="Y31" s="517" t="str">
        <f aca="false">IF(AND(ISNUMBER(F31),OR(A31="",A31="!!!!!!")),"!!!!!!",IF(A31="new.cod","NEWCOD",IF(AND((Z31=""),ISTEXT(A31),A31&lt;&gt;"!!!!!!"),A31,IF(Z31="","",INDEX('liste reference'!$A$6:$A$1174,Z31)))))</f>
        <v>MENAQU</v>
      </c>
      <c r="Z31" s="499" t="n">
        <f aca="false">IF(ISERROR(MATCH(A31,'liste reference'!$A$6:$A$1174,0)),IF(ISERROR(MATCH(A31,'liste reference'!$B$6:$B$1174,0)),"",(MATCH(A31,'liste reference'!$B$6:$B$1174,0))),(MATCH(A31,'liste reference'!$A$6:$A$1174,0)))</f>
        <v>694</v>
      </c>
    </row>
    <row r="32" customFormat="false" ht="12.75" hidden="false" customHeight="false" outlineLevel="0" collapsed="false">
      <c r="A32" s="518" t="s">
        <v>2168</v>
      </c>
      <c r="B32" s="519" t="n">
        <v>0.01</v>
      </c>
      <c r="C32" s="520"/>
      <c r="D32" s="521" t="str">
        <f aca="false">IF(ISERROR(VLOOKUP($A32,'liste reference'!$A$6:$B$1174,2,0)),IF(ISERROR(VLOOKUP($A32,'liste reference'!$B$6:$B$1174,1,0)),"",VLOOKUP($A32,'liste reference'!$B$6:$B$1174,1,0)),VLOOKUP($A32,'liste reference'!$A$6:$B$1174,2,0))</f>
        <v>Phalaris arundinacea</v>
      </c>
      <c r="E32" s="522" t="e">
        <f aca="false">IF(D32="",0,VLOOKUP(D32,D$22:D31,1,0))</f>
        <v>#N/A</v>
      </c>
      <c r="F32" s="523" t="n">
        <f aca="false">IF(AND(OR(A32="",A32="!!!!!!"),B32="",C32=""),"",IF(OR(AND(B32="",C32=""),ISERROR(C32+B32)),"!!!",($B32*$B$7+$C32*$C$7)/100))</f>
        <v>0.0017</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Phalaris arundinacea</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1577</v>
      </c>
      <c r="R32" s="513" t="n">
        <f aca="false">IF(ISTEXT(H32),"",(B32*$B$7/100)+(C32*$C$7/100))</f>
        <v>0.0017</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PHAARU</v>
      </c>
      <c r="Z32" s="499" t="n">
        <f aca="false">IF(ISERROR(MATCH(A32,'liste reference'!$A$6:$A$1174,0)),IF(ISERROR(MATCH(A32,'liste reference'!$B$6:$B$1174,0)),"",(MATCH(A32,'liste reference'!$B$6:$B$1174,0))),(MATCH(A32,'liste reference'!$A$6:$A$1174,0)))</f>
        <v>707</v>
      </c>
    </row>
    <row r="33" customFormat="false" ht="12.75" hidden="false" customHeight="false" outlineLevel="0" collapsed="false">
      <c r="A33" s="518" t="s">
        <v>2343</v>
      </c>
      <c r="B33" s="519"/>
      <c r="C33" s="520" t="n">
        <v>0.005</v>
      </c>
      <c r="D33" s="521" t="str">
        <f aca="false">IF(ISERROR(VLOOKUP($A33,'liste reference'!$A$6:$B$1174,2,0)),IF(ISERROR(VLOOKUP($A33,'liste reference'!$B$6:$B$1174,1,0)),"",VLOOKUP($A33,'liste reference'!$B$6:$B$1174,1,0)),VLOOKUP($A33,'liste reference'!$A$6:$B$1174,2,0))</f>
        <v>Bidens frondosa</v>
      </c>
      <c r="E33" s="522" t="e">
        <f aca="false">IF(D33="",0,VLOOKUP(D33,D$22:D32,1,0))</f>
        <v>#N/A</v>
      </c>
      <c r="F33" s="523" t="n">
        <f aca="false">IF(AND(OR(A33="",A33="!!!!!!"),B33="",C33=""),"",IF(OR(AND(B33="",C33=""),ISERROR(C33+B33)),"!!!",($B33*$B$7+$C33*$C$7)/100))</f>
        <v>0.00415</v>
      </c>
      <c r="G33" s="524" t="str">
        <f aca="false">IF(A33="","",IF(ISERROR(VLOOKUP($A33,'liste reference'!$A$6:$Q$1174,9,0)),IF(ISERROR(VLOOKUP($A33,'liste reference'!$B$6:$Q$1174,8,0)),"    -",VLOOKUP($A33,'liste reference'!$B$6:$Q$1174,8,0)),VLOOKUP($A33,'liste reference'!$A$6:$Q$1174,9,0)))</f>
        <v>PHg</v>
      </c>
      <c r="H33" s="525" t="n">
        <f aca="false">IF(A33="","x",IF(ISERROR(VLOOKUP($A33,'liste reference'!$A$6:$Q$1174,10,0)),IF(ISERROR(VLOOKUP($A33,'liste reference'!$B$6:$Q$1174,9,0)),"x",VLOOKUP($A33,'liste reference'!$B$6:$Q$1174,9,0)),VLOOKUP($A33,'liste reference'!$A$6:$Q$1174,10,0)))</f>
        <v>9</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Bidens frondosa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1727</v>
      </c>
      <c r="R33" s="513" t="n">
        <f aca="false">IF(ISTEXT(H33),"",(B33*$B$7/100)+(C33*$C$7/100))</f>
        <v>0.00415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BIDFRO</v>
      </c>
      <c r="Z33" s="499" t="n">
        <f aca="false">IF(ISERROR(MATCH(A33,'liste reference'!$A$6:$A$1174,0)),IF(ISERROR(MATCH(A33,'liste reference'!$B$6:$B$1174,0)),"",(MATCH(A33,'liste reference'!$B$6:$B$1174,0))),(MATCH(A33,'liste reference'!$A$6:$A$1174,0)))</f>
        <v>771</v>
      </c>
    </row>
    <row r="34" customFormat="false" ht="12.75" hidden="false" customHeight="false" outlineLevel="0" collapsed="false">
      <c r="A34" s="518" t="s">
        <v>2686</v>
      </c>
      <c r="B34" s="519" t="n">
        <v>0.03</v>
      </c>
      <c r="C34" s="520" t="n">
        <v>0.06</v>
      </c>
      <c r="D34" s="521" t="str">
        <f aca="false">IF(ISERROR(VLOOKUP($A34,'liste reference'!$A$6:$B$1174,2,0)),IF(ISERROR(VLOOKUP($A34,'liste reference'!$B$6:$B$1174,1,0)),"",VLOOKUP($A34,'liste reference'!$B$6:$B$1174,1,0)),VLOOKUP($A34,'liste reference'!$A$6:$B$1174,2,0))</f>
        <v>Lysimachia vulgaris</v>
      </c>
      <c r="E34" s="522" t="e">
        <f aca="false">IF(D34="",0,VLOOKUP(D34,D$22:D33,1,0))</f>
        <v>#N/A</v>
      </c>
      <c r="F34" s="523" t="n">
        <f aca="false">IF(AND(OR(A34="",A34="!!!!!!"),B34="",C34=""),"",IF(OR(AND(B34="",C34=""),ISERROR(C34+B34)),"!!!",($B34*$B$7+$C34*$C$7)/100))</f>
        <v>0.0549</v>
      </c>
      <c r="G34" s="524" t="str">
        <f aca="false">IF(A34="","",IF(ISERROR(VLOOKUP($A34,'liste reference'!$A$6:$Q$1174,9,0)),IF(ISERROR(VLOOKUP($A34,'liste reference'!$B$6:$Q$1174,8,0)),"    -",VLOOKUP($A34,'liste reference'!$B$6:$Q$1174,8,0)),VLOOKUP($A34,'liste reference'!$A$6:$Q$1174,9,0)))</f>
        <v>PHg</v>
      </c>
      <c r="H34" s="525" t="n">
        <f aca="false">IF(A34="","x",IF(ISERROR(VLOOKUP($A34,'liste reference'!$A$6:$Q$1174,10,0)),IF(ISERROR(VLOOKUP($A34,'liste reference'!$B$6:$Q$1174,9,0)),"x",VLOOKUP($A34,'liste reference'!$B$6:$Q$1174,9,0)),VLOOKUP($A34,'liste reference'!$A$6:$Q$1174,10,0)))</f>
        <v>9</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Lysimachia vulgaris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1887</v>
      </c>
      <c r="R34" s="513" t="n">
        <f aca="false">IF(ISTEXT(H34),"",(B34*$B$7/100)+(C34*$C$7/100))</f>
        <v>0.0549</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LYSVUL</v>
      </c>
      <c r="Z34" s="499" t="n">
        <f aca="false">IF(ISERROR(MATCH(A34,'liste reference'!$A$6:$A$1174,0)),IF(ISERROR(MATCH(A34,'liste reference'!$B$6:$B$1174,0)),"",(MATCH(A34,'liste reference'!$B$6:$B$1174,0))),(MATCH(A34,'liste reference'!$A$6:$A$1174,0)))</f>
        <v>899</v>
      </c>
    </row>
    <row r="35" customFormat="false" ht="12.75" hidden="false" customHeight="false" outlineLevel="0" collapsed="false">
      <c r="A35" s="518" t="s">
        <v>2697</v>
      </c>
      <c r="B35" s="519" t="n">
        <v>0.01</v>
      </c>
      <c r="C35" s="520"/>
      <c r="D35" s="521" t="str">
        <f aca="false">IF(ISERROR(VLOOKUP($A35,'liste reference'!$A$6:$B$1174,2,0)),IF(ISERROR(VLOOKUP($A35,'liste reference'!$B$6:$B$1174,1,0)),"",VLOOKUP($A35,'liste reference'!$B$6:$B$1174,1,0)),VLOOKUP($A35,'liste reference'!$A$6:$B$1174,2,0))</f>
        <v>Lythrum salicaria</v>
      </c>
      <c r="E35" s="522" t="e">
        <f aca="false">IF(D35="",0,VLOOKUP(D35,D$22:D34,1,0))</f>
        <v>#N/A</v>
      </c>
      <c r="F35" s="523" t="n">
        <f aca="false">IF(AND(OR(A35="",A35="!!!!!!"),B35="",C35=""),"",IF(OR(AND(B35="",C35=""),ISERROR(C35+B35)),"!!!",($B35*$B$7+$C35*$C$7)/100))</f>
        <v>0.0017</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Lythrum salicaria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1823</v>
      </c>
      <c r="R35" s="513" t="n">
        <f aca="false">IF(ISTEXT(H35),"",(B35*$B$7/100)+(C35*$C$7/100))</f>
        <v>0.0017</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LYTSAL</v>
      </c>
      <c r="Z35" s="499" t="n">
        <f aca="false">IF(ISERROR(MATCH(A35,'liste reference'!$A$6:$A$1174,0)),IF(ISERROR(MATCH(A35,'liste reference'!$B$6:$B$1174,0)),"",(MATCH(A35,'liste reference'!$B$6:$B$1174,0))),(MATCH(A35,'liste reference'!$A$6:$A$1174,0)))</f>
        <v>902</v>
      </c>
    </row>
    <row r="36" customFormat="false" ht="12.75" hidden="false" customHeight="false" outlineLevel="0" collapsed="false">
      <c r="A36" s="518" t="s">
        <v>2833</v>
      </c>
      <c r="B36" s="519" t="n">
        <v>0.2</v>
      </c>
      <c r="C36" s="520"/>
      <c r="D36" s="521" t="str">
        <f aca="false">IF(ISERROR(VLOOKUP($A36,'liste reference'!$A$6:$B$1174,2,0)),IF(ISERROR(VLOOKUP($A36,'liste reference'!$B$6:$B$1174,1,0)),"",VLOOKUP($A36,'liste reference'!$B$6:$B$1174,1,0)),VLOOKUP($A36,'liste reference'!$A$6:$B$1174,2,0))</f>
        <v>Rorippa sylvestris</v>
      </c>
      <c r="E36" s="522" t="e">
        <f aca="false">IF(D36="",0,VLOOKUP(D36,D$22:D35,1,0))</f>
        <v>#N/A</v>
      </c>
      <c r="F36" s="523" t="n">
        <f aca="false">IF(AND(OR(A36="",A36="!!!!!!"),B36="",C36=""),"",IF(OR(AND(B36="",C36=""),ISERROR(C36+B36)),"!!!",($B36*$B$7+$C36*$C$7)/100))</f>
        <v>0.034</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Rorippa sylvestris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1767</v>
      </c>
      <c r="R36" s="513" t="n">
        <f aca="false">IF(ISTEXT(H36),"",(B36*$B$7/100)+(C36*$C$7/100))</f>
        <v>0.034</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RORSYL</v>
      </c>
      <c r="Z36" s="499" t="n">
        <f aca="false">IF(ISERROR(MATCH(A36,'liste reference'!$A$6:$A$1174,0)),IF(ISERROR(MATCH(A36,'liste reference'!$B$6:$B$1174,0)),"",(MATCH(A36,'liste reference'!$B$6:$B$1174,0))),(MATCH(A36,'liste reference'!$A$6:$A$1174,0)))</f>
        <v>948</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13.33605</v>
      </c>
      <c r="G83" s="452"/>
      <c r="H83" s="452"/>
      <c r="I83" s="452"/>
      <c r="J83" s="452"/>
      <c r="K83" s="452"/>
      <c r="L83" s="452"/>
      <c r="M83" s="514"/>
      <c r="N83" s="514"/>
      <c r="O83" s="514"/>
      <c r="P83" s="514"/>
      <c r="Q83" s="514"/>
      <c r="R83" s="514"/>
      <c r="S83" s="514"/>
      <c r="T83" s="514"/>
      <c r="U83" s="514"/>
      <c r="V83" s="514" t="n">
        <f aca="false">SUM(V23:V82)</f>
        <v>19</v>
      </c>
      <c r="W83" s="514"/>
      <c r="X83" s="552"/>
      <c r="Y83" s="552"/>
      <c r="Z83" s="553"/>
    </row>
    <row r="84" customFormat="false" ht="12.75" hidden="true" customHeight="false" outlineLevel="0" collapsed="false">
      <c r="A84" s="547" t="str">
        <f aca="false">A3</f>
        <v>Gardon d'Alès</v>
      </c>
      <c r="B84" s="481" t="str">
        <f aca="false">C3</f>
        <v>Saint Hilaire de Brethmas</v>
      </c>
      <c r="C84" s="554" t="str">
        <f aca="false">A4</f>
        <v>(Date)</v>
      </c>
      <c r="D84" s="555" t="n">
        <f aca="false">IF(OR(ISERROR(SUM($U$23:$U$82)/SUM($V$23:$V$82)),F7&lt;&gt;100),-1,SUM($U$23:$U$82)/SUM($V$23:$V$82))</f>
        <v>8.52631578947369</v>
      </c>
      <c r="E84" s="556" t="n">
        <f aca="false">O13</f>
        <v>14</v>
      </c>
      <c r="F84" s="481" t="n">
        <f aca="false">O14</f>
        <v>8</v>
      </c>
      <c r="G84" s="481" t="n">
        <f aca="false">O15</f>
        <v>5</v>
      </c>
      <c r="H84" s="481" t="n">
        <f aca="false">O16</f>
        <v>3</v>
      </c>
      <c r="I84" s="481" t="n">
        <f aca="false">O17</f>
        <v>0</v>
      </c>
      <c r="J84" s="557" t="n">
        <f aca="false">O8</f>
        <v>9</v>
      </c>
      <c r="K84" s="558" t="n">
        <f aca="false">O9</f>
        <v>2.78388218141501</v>
      </c>
      <c r="L84" s="559" t="n">
        <f aca="false">O10</f>
        <v>5</v>
      </c>
      <c r="M84" s="559" t="n">
        <f aca="false">O11</f>
        <v>13</v>
      </c>
      <c r="N84" s="558" t="n">
        <f aca="false">P8</f>
        <v>1.375</v>
      </c>
      <c r="O84" s="558" t="n">
        <f aca="false">P9</f>
        <v>0.484122918275927</v>
      </c>
      <c r="P84" s="559" t="n">
        <f aca="false">P10</f>
        <v>1</v>
      </c>
      <c r="Q84" s="559" t="n">
        <f aca="false">P11</f>
        <v>2</v>
      </c>
      <c r="R84" s="559" t="n">
        <f aca="false">F21</f>
        <v>13.33605</v>
      </c>
      <c r="S84" s="559" t="n">
        <f aca="false">L11</f>
        <v>0</v>
      </c>
      <c r="T84" s="559" t="n">
        <f aca="false">L12</f>
        <v>4</v>
      </c>
      <c r="U84" s="559" t="n">
        <f aca="false">L13</f>
        <v>1</v>
      </c>
      <c r="V84" s="560" t="n">
        <f aca="false">L15</f>
        <v>8</v>
      </c>
      <c r="W84" s="561" t="n">
        <f aca="false">L15</f>
        <v>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24</v>
      </c>
      <c r="U87" s="309"/>
      <c r="V87" s="309"/>
    </row>
    <row r="88" customFormat="false" ht="12.75" hidden="true" customHeight="false" outlineLevel="0" collapsed="false">
      <c r="C88" s="563"/>
      <c r="D88" s="563"/>
      <c r="E88" s="563"/>
      <c r="R88" s="309" t="s">
        <v>3445</v>
      </c>
      <c r="S88" s="309"/>
      <c r="T88" s="565" t="n">
        <f aca="false">VLOOKUP($T$91,($A$23:$U$82),21,FALSE())</f>
        <v>24</v>
      </c>
      <c r="U88" s="309"/>
      <c r="V88" s="309" t="n">
        <f aca="false">COUNTIF(V23:V82,T89)</f>
        <v>3</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9.2</v>
      </c>
      <c r="U90" s="309" t="n">
        <f aca="false">IF(ISERROR(T90),0,1)</f>
        <v>1</v>
      </c>
    </row>
    <row r="91" customFormat="false" ht="12.75" hidden="true" customHeight="false" outlineLevel="0" collapsed="false">
      <c r="C91" s="563"/>
      <c r="D91" s="563"/>
      <c r="E91" s="563"/>
      <c r="R91" s="514" t="s">
        <v>3449</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3461</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3482</v>
      </c>
    </row>
    <row r="37" customFormat="false" ht="15" hidden="false" customHeight="false" outlineLevel="0" collapsed="false">
      <c r="A37" s="594" t="s">
        <v>2976</v>
      </c>
      <c r="B37" s="596" t="s">
        <v>2977</v>
      </c>
      <c r="C37" s="597"/>
      <c r="D37" s="598"/>
      <c r="F37" s="611" t="s">
        <v>3483</v>
      </c>
    </row>
    <row r="38" customFormat="false" ht="15" hidden="false" customHeight="false" outlineLevel="0" collapsed="false">
      <c r="A38" s="594" t="s">
        <v>2978</v>
      </c>
      <c r="B38" s="596" t="s">
        <v>2979</v>
      </c>
      <c r="C38" s="597"/>
      <c r="D38" s="598"/>
      <c r="F38" s="613" t="s">
        <v>3484</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2016-04-14T14:06:36Z</dcterms:modified>
  <cp:revision>0</cp:revision>
  <dc:subject/>
  <dc:title>Feuille d'aide au calcul de l'IBMR</dc:title>
</cp:coreProperties>
</file>