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28720" sheetId="6" state="visible" r:id="rId8"/>
    <sheet name="modele" sheetId="7" state="hidden" r:id="rId9"/>
    <sheet name="liste codes réf" sheetId="8" state="hidden" r:id="rId10"/>
  </sheets>
  <definedNames>
    <definedName function="false" hidden="false" localSheetId="5" name="_xlnm.Print_Area" vbProcedure="false">'06128720'!$A$1:$O$82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'06128720'!$A$23:$J$84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<sst xmlns="http://schemas.openxmlformats.org/spreadsheetml/2006/main" count="7359" uniqueCount="2734">
  <si>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</si>
  <si>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</si>
  <si>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</si>
  <si>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</si>
  <si>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</si>
  <si>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</si>
  <si>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</si>
  <si>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</si>
  <si>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</si>
  <si>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</si>
  <si>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</si>
  <si>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</si>
  <si>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</si>
  <si>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</si>
  <si>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</si>
  <si>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</si>
  <si>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</si>
  <si>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</si>
  <si>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</si>
  <si>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</si>
  <si>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</si>
  <si>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</si>
  <si>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</si>
  <si>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</si>
  <si>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</si>
  <si>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</si>
  <si>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</si>
  <si>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</si>
  <si>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</si>
  <si>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</si>
  <si>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</si>
  <si>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</si>
  <si>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</si>
  <si>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</si>
  <si>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</si>
  <si>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</si>
  <si>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</si>
  <si>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</si>
  <si>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</si>
  <si>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</si>
  <si>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</si>
  <si>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</si>
  <si>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</si>
  <si>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</si>
  <si>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</si>
  <si>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</si>
  <si>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</si>
  <si>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</si>
  <si>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</si>
  <si>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</si>
  <si>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</si>
  <si>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</si>
  <si>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</si>
  <si>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</si>
  <si>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</si>
  <si>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</si>
  <si>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</si>
  <si>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</si>
  <si>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</si>
  <si>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</si>
  <si>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</si>
  <si>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</si>
  <si>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</si>
  <si>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</si>
  <si>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</si>
  <si>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</si>
  <si>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</si>
  <si>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</si>
  <si>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</si>
  <si>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</si>
  <si>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</si>
  <si>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</si>
  <si>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</si>
  <si>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</si>
  <si>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</si>
  <si>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</si>
  <si>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</si>
  <si>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</si>
  <si>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</si>
  <si>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</si>
  <si>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</si>
  <si>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</si>
  <si>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</si>
  <si>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</si>
  <si>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</si>
  <si>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</si>
  <si>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</si>
  <si>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</si>
  <si>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</si>
  <si>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</si>
  <si>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</si>
  <si>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</si>
  <si>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</si>
  <si>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</si>
  <si>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</si>
  <si>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</si>
  <si>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</si>
  <si>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</si>
  <si>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</si>
  <si>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</si>
  <si>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</si>
  <si>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</si>
  <si>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</si>
  <si>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</si>
  <si>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</si>
  <si>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</si>
  <si>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</si>
  <si>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</si>
  <si>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</si>
  <si>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</si>
  <si>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</si>
  <si>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</si>
  <si>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</si>
  <si>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</si>
  <si>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</si>
  <si>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</si>
  <si>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</si>
  <si>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</si>
  <si>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</si>
  <si>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</si>
  <si>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</si>
  <si>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</si>
  <si>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</si>
  <si>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</si>
  <si>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</si>
  <si>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</si>
  <si>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</si>
  <si>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</si>
  <si>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</si>
  <si>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</si>
  <si>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</si>
  <si>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</si>
  <si>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</si>
  <si>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</si>
  <si>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</si>
  <si>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</si>
  <si>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</si>
  <si>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</si>
  <si>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</si>
  <si>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</si>
  <si>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</si>
  <si>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</si>
  <si>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</si>
  <si>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</si>
  <si>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</si>
  <si>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</si>
  <si>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</si>
  <si>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</si>
  <si>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</si>
  <si>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</si>
  <si>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</si>
  <si>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</si>
  <si>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</si>
  <si>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</si>
  <si>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</si>
  <si>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</si>
  <si>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</si>
  <si>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</si>
  <si>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</si>
  <si>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</si>
  <si>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</si>
  <si>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</si>
  <si>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</si>
  <si>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</si>
  <si>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</si>
  <si>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</si>
  <si>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</si>
  <si>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</si>
  <si>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</si>
  <si>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</si>
  <si>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</si>
  <si>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</si>
  <si>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</si>
  <si>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</si>
  <si>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</si>
  <si>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</si>
  <si>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</si>
  <si>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</si>
  <si>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</si>
  <si>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</si>
  <si>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</si>
  <si>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</si>
  <si>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</si>
  <si>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</si>
  <si>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</si>
  <si>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</si>
  <si>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</si>
  <si>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</si>
  <si>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</si>
  <si>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</si>
  <si>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</si>
  <si>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</si>
  <si>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</si>
  <si>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</si>
  <si>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</si>
  <si>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</si>
  <si>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</si>
  <si>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</si>
  <si>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</si>
  <si>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</si>
  <si>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</si>
  <si>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</si>
  <si>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</si>
  <si>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</si>
  <si>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</si>
  <si>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</si>
  <si>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</si>
  <si>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</si>
  <si>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</si>
  <si>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</si>
  <si>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</si>
  <si>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</si>
  <si>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</si>
  <si>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</si>
  <si>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</si>
  <si>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</si>
  <si>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</si>
  <si>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</si>
  <si>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</si>
  <si>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</si>
  <si>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</si>
  <si>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</si>
  <si>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</si>
  <si>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</si>
  <si>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</si>
  <si>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</si>
  <si>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</si>
  <si>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</si>
  <si>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</si>
  <si>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</si>
  <si>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</si>
  <si>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</si>
  <si>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</si>
  <si>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</si>
  <si>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</si>
  <si>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</si>
  <si>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</si>
  <si>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</si>
  <si>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</si>
  <si>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</si>
  <si>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</si>
  <si>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</si>
  <si>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</si>
  <si>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</si>
  <si>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</si>
  <si>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</si>
  <si>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</si>
  <si>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</si>
  <si>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</si>
  <si>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</si>
  <si>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</si>
  <si>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</si>
  <si>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</si>
  <si>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</si>
  <si>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</si>
  <si>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</si>
  <si>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</si>
  <si>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</si>
  <si>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</si>
  <si>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</si>
  <si>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</si>
  <si>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</si>
  <si>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</si>
  <si>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</si>
  <si>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</si>
  <si>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</si>
  <si>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</si>
  <si>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</si>
  <si>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</si>
  <si>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</si>
  <si>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</si>
  <si>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</si>
  <si>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</si>
  <si>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</si>
  <si>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</si>
  <si>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</si>
  <si>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</si>
  <si>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</si>
  <si>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</si>
  <si>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</si>
  <si>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</si>
  <si>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</si>
  <si>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</si>
  <si>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</si>
  <si>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</si>
  <si>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</si>
  <si>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</si>
  <si>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</si>
  <si>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</si>
  <si>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</si>
  <si>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</si>
  <si>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</si>
  <si>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</si>
  <si>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</si>
  <si>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</si>
  <si>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</si>
  <si>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</si>
  <si>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</si>
  <si>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</si>
  <si>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</si>
  <si>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</si>
  <si>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</si>
  <si>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</si>
  <si>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</si>
  <si>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</si>
  <si>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</si>
  <si>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</si>
  <si>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</si>
  <si>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</si>
  <si>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</si>
  <si>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</si>
  <si>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</si>
  <si>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</si>
  <si>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</si>
  <si>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</si>
  <si>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</si>
  <si>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</si>
  <si>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</si>
  <si>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</si>
  <si>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</si>
  <si>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</si>
  <si>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</si>
  <si>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</si>
  <si>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</si>
  <si>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</si>
  <si>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</si>
  <si>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</si>
  <si>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</si>
  <si>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</si>
  <si>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</si>
  <si>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</si>
  <si>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</si>
  <si>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</si>
  <si>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</si>
  <si>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</si>
  <si>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</si>
  <si>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</si>
  <si>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</si>
  <si>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</si>
  <si>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</si>
  <si>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</si>
  <si>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</si>
  <si>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</si>
  <si>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</si>
  <si>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</si>
  <si>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</si>
  <si>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</si>
  <si>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</si>
  <si>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</si>
  <si>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</si>
  <si>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</si>
  <si>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</si>
  <si>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</si>
  <si>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</si>
  <si>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</si>
  <si>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</si>
  <si>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</si>
  <si>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</si>
  <si>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</si>
  <si>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</si>
  <si>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</si>
  <si>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</si>
  <si>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</si>
  <si>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</si>
  <si>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</si>
  <si>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</si>
  <si>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</si>
  <si>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</si>
  <si>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</si>
  <si>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</si>
  <si>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</si>
  <si>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</si>
  <si>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</si>
  <si>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</si>
  <si>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</si>
  <si>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</si>
  <si>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</si>
  <si>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</si>
  <si>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</si>
  <si>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</si>
  <si>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</si>
  <si>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</si>
  <si>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</si>
  <si>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</si>
  <si>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</si>
  <si>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</si>
  <si>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</si>
  <si>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</si>
  <si>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</si>
  <si>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</si>
  <si>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</si>
  <si>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</si>
  <si>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</si>
  <si>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</si>
  <si>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</si>
  <si>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</si>
  <si>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</si>
  <si>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</si>
  <si>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</si>
  <si>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</si>
  <si>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</si>
  <si>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</si>
  <si>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</si>
  <si>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</si>
  <si>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</si>
  <si>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</si>
  <si>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</si>
  <si>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</si>
  <si>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</si>
  <si>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</si>
  <si>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</si>
  <si>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</si>
  <si>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</si>
  <si>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</si>
  <si>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</si>
  <si>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</si>
  <si>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</si>
  <si>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</si>
  <si>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</si>
  <si>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</si>
  <si>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</si>
  <si>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</si>
  <si>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</si>
  <si>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</si>
  <si>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</si>
  <si>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</si>
  <si>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</si>
  <si>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</si>
  <si>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</si>
  <si>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</si>
  <si>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</si>
  <si>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</si>
  <si>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</si>
  <si>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</si>
  <si>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</si>
  <si>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</si>
  <si>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</si>
  <si>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</si>
  <si>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</si>
  <si>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</si>
  <si>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</si>
  <si>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</si>
  <si>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</si>
  <si>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</si>
  <si>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</si>
  <si>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</si>
  <si>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</si>
  <si>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</si>
  <si>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</si>
  <si>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</si>
  <si>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</si>
  <si>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</si>
  <si>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</si>
  <si>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</si>
  <si>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</si>
  <si>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</si>
  <si>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</si>
  <si>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</si>
  <si>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</si>
  <si>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</si>
  <si>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</si>
  <si>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</si>
  <si>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</si>
  <si>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</si>
  <si>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</si>
  <si>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</si>
  <si>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</si>
  <si>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</si>
  <si>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</si>
  <si>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</si>
  <si>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</si>
  <si>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</si>
  <si>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</si>
  <si>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</si>
  <si>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</si>
  <si>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</si>
  <si>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</si>
  <si>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</si>
  <si>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</si>
  <si>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</si>
  <si>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</si>
  <si>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</si>
  <si>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</si>
  <si>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</si>
  <si>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</si>
  <si>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</si>
  <si>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</si>
  <si>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</si>
  <si>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</si>
  <si>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</si>
  <si>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</si>
  <si>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</si>
  <si>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</si>
  <si>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</si>
  <si>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</si>
  <si>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</si>
  <si>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</si>
  <si>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</si>
  <si>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</si>
  <si>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</si>
  <si>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</si>
  <si>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</si>
  <si>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</si>
  <si>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</si>
  <si>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</si>
  <si>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</si>
  <si>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</si>
  <si>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</si>
  <si>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</si>
  <si>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</si>
  <si>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</si>
  <si>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</si>
  <si>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</si>
  <si>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</si>
  <si>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</si>
  <si>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</si>
  <si>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</si>
  <si>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</si>
  <si>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</si>
  <si>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</si>
  <si>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</si>
  <si>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</si>
  <si>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</si>
  <si>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</si>
  <si>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</si>
  <si>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</si>
  <si>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</si>
  <si>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</si>
  <si>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</si>
  <si>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</si>
  <si>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</si>
  <si>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</si>
  <si>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</si>
  <si>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</si>
  <si>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</si>
  <si>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</si>
  <si>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</si>
  <si>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</si>
  <si>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</si>
  <si>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</si>
  <si>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</si>
  <si>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</si>
  <si>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</si>
  <si>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</si>
  <si>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</si>
  <si>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</si>
  <si>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</si>
  <si>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</si>
  <si>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</si>
  <si>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</si>
  <si>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</si>
  <si>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</si>
  <si>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</si>
  <si>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</si>
  <si>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</si>
  <si>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</si>
  <si>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</si>
  <si>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</si>
  <si>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</si>
  <si>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</si>
  <si>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</si>
  <si>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</si>
  <si>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</si>
  <si>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</si>
  <si>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</si>
  <si>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</si>
  <si>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</si>
  <si>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</si>
  <si>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</si>
  <si>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</si>
  <si>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</si>
  <si>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</si>
  <si>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</si>
  <si>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</si>
  <si>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</si>
  <si>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</si>
  <si>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</si>
  <si>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</si>
  <si>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</si>
  <si>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</si>
  <si>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</si>
  <si>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</si>
  <si>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</si>
  <si>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</si>
  <si>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</si>
  <si>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</si>
  <si>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</si>
  <si>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</si>
  <si>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</si>
  <si>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</si>
  <si>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</si>
  <si>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</si>
  <si>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</si>
  <si>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</si>
  <si>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</si>
  <si>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</si>
  <si>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</si>
  <si>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</si>
  <si>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</si>
  <si>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</si>
  <si>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</si>
  <si>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</si>
  <si>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</si>
  <si>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</si>
  <si>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</si>
  <si>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</si>
  <si>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</si>
  <si>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</si>
  <si>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</si>
  <si>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</si>
  <si>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</si>
  <si>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</si>
  <si>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</si>
  <si>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</si>
  <si>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</si>
  <si>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</si>
  <si>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</si>
  <si>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</si>
  <si>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</si>
  <si>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</si>
  <si>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</si>
  <si>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</si>
  <si>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</si>
  <si>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</si>
  <si>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</si>
  <si>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</si>
  <si>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</si>
  <si>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</si>
  <si>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</si>
  <si>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</si>
  <si>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</si>
  <si>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</si>
  <si>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</si>
  <si>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</si>
  <si>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</si>
  <si>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</si>
  <si>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</si>
  <si>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</si>
  <si>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</si>
  <si>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</si>
  <si>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</si>
  <si>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</si>
  <si>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</si>
  <si>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</si>
  <si>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</si>
  <si>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</si>
  <si>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</si>
  <si>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</si>
  <si>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</si>
  <si>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</si>
  <si>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</si>
  <si>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</si>
  <si>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</si>
  <si>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</si>
  <si>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</si>
  <si>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</si>
  <si>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</si>
  <si>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</si>
  <si>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</si>
  <si>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</si>
  <si>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</si>
  <si>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</si>
  <si>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</si>
  <si>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</si>
  <si>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</si>
  <si>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</si>
  <si>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</si>
  <si>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</si>
  <si>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</si>
  <si>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</si>
  <si>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</si>
  <si>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</si>
  <si>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</si>
  <si>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</si>
  <si>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</si>
  <si>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</si>
  <si>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</si>
  <si>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</si>
  <si>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</si>
  <si>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</si>
  <si>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</si>
  <si>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</si>
  <si>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</si>
  <si>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</si>
  <si>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</si>
  <si>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</si>
  <si>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</si>
  <si>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</si>
  <si>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</si>
  <si>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</si>
  <si>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</si>
  <si>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</si>
  <si>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</si>
  <si>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</si>
  <si>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</si>
  <si>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</si>
  <si>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</si>
  <si>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</si>
  <si>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</si>
  <si>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</si>
  <si>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</si>
  <si>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</si>
  <si>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</si>
  <si>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</si>
  <si>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</si>
  <si>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</si>
  <si>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</si>
  <si>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</si>
  <si>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</si>
  <si>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</si>
  <si>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</si>
  <si>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</si>
  <si>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</si>
  <si>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</si>
  <si>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</si>
  <si>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</si>
  <si>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</si>
  <si>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</si>
  <si>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</si>
  <si>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</si>
  <si>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</si>
  <si>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</si>
  <si>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</si>
  <si>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</si>
  <si>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</si>
  <si>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</si>
  <si>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</si>
  <si>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</si>
  <si>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</si>
  <si>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</si>
  <si>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</si>
  <si>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</si>
  <si>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</si>
  <si>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</si>
  <si>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</si>
  <si>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</si>
  <si>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</si>
  <si>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</si>
  <si>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</si>
  <si>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</si>
  <si>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</si>
  <si>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</si>
  <si>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</si>
  <si>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</si>
  <si>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</si>
  <si>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</si>
  <si>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</si>
  <si>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</si>
  <si>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</si>
  <si>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</si>
  <si>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</si>
  <si>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</si>
  <si>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</si>
  <si>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</si>
  <si>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</si>
  <si>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</si>
  <si>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</si>
  <si>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</si>
  <si>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</si>
  <si>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</si>
  <si>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</si>
  <si>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</si>
  <si>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</si>
  <si>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</si>
  <si>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</si>
  <si>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</si>
  <si>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</si>
  <si>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</si>
  <si>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</si>
  <si>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</si>
  <si>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</si>
  <si>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</si>
  <si>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</si>
  <si>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</si>
  <si>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</si>
  <si>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</si>
  <si>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</si>
  <si>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</si>
  <si>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</si>
  <si>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</si>
  <si>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</si>
  <si>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</si>
  <si>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</si>
  <si>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</si>
  <si>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</si>
  <si>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</si>
  <si>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</si>
  <si>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</si>
  <si>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</si>
  <si>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</si>
  <si>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</si>
  <si>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</si>
  <si>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</si>
  <si>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</si>
  <si>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</si>
  <si>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</si>
  <si>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</si>
  <si>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</si>
  <si>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</si>
  <si>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</si>
  <si>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</si>
  <si>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</si>
  <si>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</si>
  <si>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</si>
  <si>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</si>
  <si>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</si>
  <si>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</si>
  <si>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</si>
  <si>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</si>
  <si>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</si>
  <si>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</si>
  <si>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</si>
  <si>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</si>
  <si>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</si>
  <si>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</si>
  <si>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</si>
  <si>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</si>
  <si>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</si>
  <si>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</si>
  <si>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</si>
  <si>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</si>
  <si>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</si>
  <si>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</si>
  <si>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</si>
  <si>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</si>
  <si>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</si>
  <si>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</si>
  <si>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</si>
  <si>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</si>
  <si>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</si>
  <si>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</si>
  <si>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</si>
  <si>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</si>
  <si>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</si>
  <si>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</si>
  <si>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</si>
  <si>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</si>
  <si>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</si>
  <si>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</si>
  <si>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</si>
  <si>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</si>
  <si>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</si>
  <si>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</si>
  <si>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</si>
  <si>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</si>
  <si>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</si>
  <si>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</si>
  <si>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</si>
  <si>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</si>
  <si>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</si>
  <si>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</si>
  <si>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</si>
  <si>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</si>
  <si>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</si>
  <si>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</si>
  <si>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</si>
  <si>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</si>
  <si>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</si>
  <si>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</si>
  <si>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</si>
  <si>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</si>
  <si>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</si>
  <si>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</si>
  <si>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</si>
  <si>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</si>
  <si>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</si>
  <si>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</si>
  <si>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</si>
  <si>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</si>
  <si>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</si>
  <si>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</si>
  <si>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</si>
  <si>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</si>
  <si>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</si>
  <si>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</si>
  <si>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</si>
  <si>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</si>
  <si>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</si>
  <si>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</si>
  <si>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</si>
  <si>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</si>
  <si>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</si>
  <si>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</si>
  <si>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</si>
  <si>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</si>
  <si>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</si>
  <si>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</si>
  <si>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</si>
  <si>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</si>
  <si>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</si>
  <si>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</si>
  <si>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</si>
  <si>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</si>
  <si>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</si>
  <si>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</si>
  <si>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</si>
  <si>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</si>
  <si>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</si>
  <si>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</si>
  <si>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</si>
  <si>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</si>
  <si>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</si>
  <si>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</si>
  <si>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</si>
  <si>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</si>
  <si>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</si>
  <si>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</si>
  <si>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</si>
  <si>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</si>
  <si>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</si>
  <si>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</si>
  <si>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</si>
  <si>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</si>
  <si>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</si>
  <si>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</si>
  <si>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</si>
  <si>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</si>
  <si>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</si>
  <si>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</si>
  <si>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</si>
  <si>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</si>
  <si>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</si>
  <si>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</si>
  <si>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</si>
  <si>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</si>
  <si>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</si>
  <si>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</si>
  <si>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</si>
  <si>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</si>
  <si>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</si>
  <si>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</si>
  <si>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</si>
  <si>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</si>
  <si>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</si>
  <si>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</si>
  <si>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</si>
  <si>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</si>
  <si>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</si>
  <si>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</si>
  <si>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</si>
  <si>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</si>
  <si>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</si>
  <si>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</si>
  <si>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</si>
  <si>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</si>
  <si>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</si>
  <si>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</si>
  <si>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</si>
  <si>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</si>
  <si>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</si>
  <si>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</si>
  <si>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</si>
  <si>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</si>
  <si>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</si>
  <si>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</si>
  <si>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</si>
  <si>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</si>
  <si>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</si>
  <si>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</si>
  <si>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</si>
  <si>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</si>
  <si>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</si>
  <si>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</si>
  <si>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</si>
  <si>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</si>
  <si>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</si>
  <si>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</si>
  <si>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</si>
  <si>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</si>
  <si>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</si>
  <si>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</si>
  <si>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</si>
  <si>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</si>
  <si>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</si>
  <si>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</si>
  <si>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</si>
  <si>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</si>
  <si>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</si>
  <si>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</si>
  <si>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</si>
  <si>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</si>
  <si>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</si>
  <si>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</si>
  <si>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</si>
  <si>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</si>
  <si>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</si>
  <si>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</si>
  <si>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</si>
  <si>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</si>
  <si>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</si>
  <si>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</si>
  <si>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</si>
  <si>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</si>
  <si>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</si>
  <si>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</si>
  <si>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</si>
  <si>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</si>
  <si>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</si>
  <si>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</si>
  <si>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</si>
  <si>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</si>
  <si>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</si>
  <si>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</si>
  <si>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</si>
  <si>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</si>
  <si>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</si>
  <si>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</si>
  <si>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</si>
  <si>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</si>
  <si>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</si>
  <si>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</si>
  <si>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</si>
  <si>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</si>
  <si>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</si>
  <si>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</si>
  <si>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</si>
  <si>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</si>
  <si>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</si>
  <si>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</si>
  <si>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</si>
  <si>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</si>
  <si>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</si>
  <si>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</si>
  <si>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</si>
  <si>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</si>
  <si>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</si>
  <si>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</si>
  <si>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</si>
  <si>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</si>
  <si>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</si>
  <si>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</si>
  <si>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</si>
  <si>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</si>
  <si>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</si>
  <si>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</si>
  <si>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</si>
  <si>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</si>
  <si>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</si>
  <si>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</si>
  <si>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</si>
  <si>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</si>
  <si>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</si>
  <si>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</si>
  <si>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</si>
  <si>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</si>
  <si>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</si>
  <si>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</si>
  <si>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</si>
  <si>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</si>
  <si>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</si>
  <si>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</si>
  <si>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</si>
  <si>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</si>
  <si>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</si>
  <si>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</si>
  <si>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</si>
  <si>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</si>
  <si>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</si>
  <si>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</si>
  <si>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</si>
  <si>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</si>
  <si>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</si>
  <si>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</si>
  <si>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</si>
  <si>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</si>
  <si>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</si>
  <si>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</si>
  <si>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</si>
  <si>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</si>
  <si>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</si>
  <si>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</si>
  <si>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</si>
  <si>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</si>
  <si>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</si>
  <si>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</si>
  <si>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</si>
  <si>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</si>
  <si>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</si>
  <si>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</si>
  <si>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</si>
  <si>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</si>
  <si>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</si>
  <si>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</si>
  <si>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</si>
  <si>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</si>
  <si>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</si>
  <si>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</si>
  <si>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</si>
  <si>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</si>
  <si>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</si>
  <si>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</si>
  <si>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</si>
  <si>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</si>
  <si>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</si>
  <si>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</si>
  <si>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</si>
  <si>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</si>
  <si>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</si>
  <si>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</si>
  <si>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</si>
  <si>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</si>
  <si>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</si>
  <si>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</si>
  <si>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</si>
  <si>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</si>
  <si>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</si>
  <si>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</si>
  <si>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</si>
  <si>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</si>
  <si>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</si>
  <si>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</si>
  <si>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</si>
  <si>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</si>
  <si>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</si>
  <si>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</si>
  <si>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</si>
  <si>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</si>
  <si>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</si>
  <si>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</si>
  <si>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</si>
  <si>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</si>
  <si>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</si>
  <si>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</si>
  <si>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</si>
  <si>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</si>
  <si>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</si>
  <si>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</si>
  <si>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</si>
  <si>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</si>
  <si>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</si>
  <si>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</si>
  <si>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</si>
  <si>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</si>
  <si>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</si>
  <si>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</si>
  <si>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</si>
  <si>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</si>
  <si>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</si>
  <si>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</si>
  <si>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</si>
  <si>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</si>
  <si>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</si>
  <si>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</si>
  <si>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</si>
  <si>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</si>
  <si>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</si>
  <si>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</si>
  <si>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</si>
  <si>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</si>
  <si>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</si>
  <si>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</si>
  <si>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</si>
  <si>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</si>
  <si>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</si>
  <si>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</si>
  <si>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</si>
  <si>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</si>
  <si>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</si>
  <si>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</si>
  <si>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</si>
  <si>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</si>
  <si>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</si>
  <si>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</si>
  <si>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</si>
  <si>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</si>
  <si>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</si>
  <si>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</si>
  <si>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</si>
  <si>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</si>
  <si>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</si>
  <si>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</si>
  <si>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</si>
  <si>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</si>
  <si>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</si>
  <si>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</si>
  <si>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</si>
  <si>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</si>
  <si>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</si>
  <si>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</si>
  <si>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</si>
  <si>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</si>
  <si>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</si>
  <si>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</si>
  <si>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</si>
  <si>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</si>
  <si>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</si>
  <si>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</si>
  <si>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</si>
  <si>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</si>
  <si>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</si>
  <si>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</si>
  <si>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</si>
  <si>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</si>
  <si>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</si>
  <si>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</si>
  <si>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</si>
  <si>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</si>
  <si>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</si>
  <si>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</si>
  <si>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</si>
  <si>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</si>
  <si>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</si>
  <si>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</si>
  <si>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</si>
  <si>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</si>
  <si>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</si>
  <si>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</si>
  <si>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</si>
  <si>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</si>
  <si>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</si>
  <si>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</si>
  <si>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</si>
  <si>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</si>
  <si>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</si>
  <si>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</si>
  <si>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</si>
  <si>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</si>
  <si>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</si>
  <si>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</si>
  <si>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</si>
  <si>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</si>
  <si>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</si>
  <si>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</si>
  <si>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</si>
  <si>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</si>
  <si>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</si>
  <si>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</si>
  <si>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</si>
  <si>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</si>
  <si>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</si>
  <si>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</si>
  <si>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</si>
  <si>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</si>
  <si>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</si>
  <si>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</si>
  <si>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</si>
  <si>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</si>
  <si>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</si>
  <si>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</si>
  <si>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</si>
  <si>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</si>
  <si>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</si>
  <si>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</si>
  <si>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</si>
  <si>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</si>
  <si>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</si>
  <si>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</si>
  <si>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</si>
  <si>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</si>
  <si>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</si>
  <si>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</si>
  <si>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</si>
  <si>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</si>
  <si>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</si>
  <si>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</si>
  <si>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</si>
  <si>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</si>
  <si>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</si>
  <si>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</si>
  <si>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</si>
  <si>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</si>
  <si>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</si>
  <si>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</si>
  <si>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</si>
  <si>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</si>
  <si>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</si>
  <si>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</si>
  <si>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</si>
  <si>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</si>
  <si>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</si>
  <si>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</si>
  <si>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</si>
  <si>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</si>
  <si>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</si>
  <si>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</si>
  <si>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</si>
  <si>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</si>
  <si>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</si>
  <si>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</si>
  <si>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</si>
  <si>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</si>
  <si>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</si>
  <si>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</si>
  <si>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</si>
  <si>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</si>
  <si>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</si>
  <si>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</si>
  <si>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</si>
  <si>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</si>
  <si>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</si>
  <si>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</si>
  <si>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</si>
  <si>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</si>
  <si>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</si>
  <si>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</si>
  <si>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</si>
  <si>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</si>
  <si>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</si>
  <si>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</si>
  <si>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</si>
  <si>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</si>
  <si>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</si>
  <si>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</si>
  <si>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</si>
  <si>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</si>
  <si>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</si>
  <si>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</si>
  <si>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</si>
  <si>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</si>
  <si>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</si>
  <si>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</si>
  <si>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</si>
  <si>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</si>
  <si>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</si>
  <si>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</si>
  <si>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</si>
  <si>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</si>
  <si>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</si>
  <si>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</si>
  <si>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</si>
  <si>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</si>
  <si>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</si>
  <si>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</si>
  <si>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</si>
  <si>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</si>
  <si>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</si>
  <si>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</si>
  <si>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</si>
  <si>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</si>
  <si>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</si>
  <si>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</si>
  <si>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</si>
  <si>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</si>
  <si>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</si>
  <si>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</si>
  <si>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</si>
  <si>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</si>
  <si>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</si>
  <si>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</si>
  <si>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</si>
  <si>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</si>
  <si>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</si>
  <si>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</si>
  <si>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</si>
  <si>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</si>
  <si>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</si>
  <si>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</si>
  <si>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</si>
  <si>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</si>
  <si>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</si>
  <si>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</si>
  <si>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</si>
  <si>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</si>
  <si>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</si>
  <si>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</si>
  <si>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</si>
  <si>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</si>
  <si>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</si>
  <si>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</si>
  <si>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</si>
  <si>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</si>
  <si>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</si>
  <si>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</si>
  <si>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</si>
  <si>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</si>
  <si>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</si>
  <si>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</si>
  <si>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</si>
  <si>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</si>
  <si>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</si>
  <si>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</si>
  <si>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</si>
  <si>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</si>
  <si>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</si>
  <si>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</si>
  <si>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</si>
  <si>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</si>
  <si>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</si>
  <si>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</si>
  <si>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</si>
  <si>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</si>
  <si>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</si>
  <si>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</si>
  <si>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</si>
  <si>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</si>
  <si>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</si>
  <si>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</si>
  <si>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</si>
  <si>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</si>
  <si>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</si>
  <si>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</si>
  <si>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</si>
  <si>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</si>
  <si>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</si>
  <si>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</si>
  <si>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</si>
  <si>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</si>
  <si>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</si>
  <si>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</si>
  <si>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</si>
  <si>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</si>
  <si>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</si>
  <si>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</si>
  <si>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</si>
  <si>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</si>
  <si>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</si>
  <si>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</si>
  <si>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</si>
  <si>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</si>
  <si>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</si>
  <si>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</si>
  <si>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</si>
  <si>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</si>
  <si>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</si>
  <si>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</si>
  <si>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</si>
  <si>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</si>
  <si>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</si>
  <si>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</si>
  <si>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</si>
  <si>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</si>
  <si>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</si>
  <si>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</si>
  <si>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</si>
  <si>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</si>
  <si>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</si>
  <si>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</si>
  <si>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</si>
  <si>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</si>
  <si>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</si>
  <si>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</si>
  <si>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</si>
  <si>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</si>
  <si>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</si>
  <si>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</si>
  <si>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</si>
  <si>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</si>
  <si>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</si>
  <si>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</si>
  <si>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</si>
  <si>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</si>
  <si>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</si>
  <si>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</si>
  <si>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</si>
  <si>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</si>
  <si>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</si>
  <si>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</si>
  <si>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</si>
  <si>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</si>
  <si>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</si>
  <si>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</si>
  <si>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</si>
  <si>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</si>
  <si>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</si>
  <si>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</si>
  <si>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</si>
  <si>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</si>
  <si>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</si>
  <si>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</si>
  <si>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</si>
  <si>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</si>
  <si>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</si>
  <si>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</si>
  <si>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</si>
  <si>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</si>
  <si>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</si>
  <si>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</si>
  <si>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</si>
  <si>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</si>
  <si>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</si>
  <si>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</si>
  <si>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</si>
  <si>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</si>
  <si>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</si>
  <si>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</si>
  <si>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</si>
  <si>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</si>
  <si>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</si>
  <si>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</si>
  <si>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</si>
  <si>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</si>
  <si>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</si>
  <si>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</si>
  <si>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</si>
  <si>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</si>
  <si>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</si>
  <si>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</si>
  <si>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</si>
  <si>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</si>
  <si>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</si>
  <si>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</si>
  <si>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</si>
  <si>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</si>
  <si>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</si>
  <si>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</si>
  <si>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</si>
  <si>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</si>
  <si>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</si>
  <si>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</si>
  <si>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</si>
  <si>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</si>
  <si>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</si>
  <si>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</si>
  <si>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</si>
  <si>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</si>
  <si>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</si>
  <si>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</si>
  <si>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</si>
  <si>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</si>
  <si>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</si>
  <si>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</si>
  <si>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</si>
  <si>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</si>
  <si>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</si>
  <si>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</si>
  <si>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</si>
  <si>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</si>
  <si>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</si>
  <si>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</si>
  <si>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</si>
  <si>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</si>
  <si>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</si>
  <si>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</si>
  <si>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</si>
  <si>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</si>
  <si>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</si>
  <si>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</si>
  <si>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</si>
  <si>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</si>
  <si>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</si>
  <si>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</si>
  <si>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</si>
  <si>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</si>
  <si>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</si>
  <si>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</si>
  <si>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</si>
  <si>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</si>
  <si>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</si>
  <si>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</si>
  <si>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</si>
  <si>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</si>
  <si>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</si>
  <si>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</si>
  <si>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</si>
  <si>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</si>
  <si>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</si>
  <si>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</si>
  <si>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</si>
  <si>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</si>
  <si>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</si>
  <si>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</si>
  <si>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</si>
  <si>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</si>
  <si>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</si>
  <si>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</si>
  <si>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</si>
  <si>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</si>
  <si>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</si>
  <si>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</si>
  <si>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</si>
  <si>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</si>
  <si>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</si>
  <si>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</si>
  <si>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</si>
  <si>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</si>
  <si>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</si>
  <si>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</si>
  <si>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</si>
  <si>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</si>
  <si>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</si>
  <si>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</si>
  <si>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</si>
  <si>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</si>
  <si>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</si>
  <si>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</si>
  <si>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</si>
  <si>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</si>
  <si>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</si>
  <si>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</si>
  <si>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</si>
  <si>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</si>
  <si>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</si>
  <si>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</si>
  <si>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</si>
  <si>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</si>
  <si>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</si>
  <si>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</si>
  <si>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</si>
  <si>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</si>
  <si>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</si>
  <si>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</si>
  <si>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</si>
  <si>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</si>
  <si>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</si>
  <si>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</si>
  <si>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</si>
  <si>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</si>
  <si>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</si>
  <si>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</si>
  <si>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</si>
  <si>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</si>
  <si>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</si>
  <si>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</si>
  <si>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</si>
  <si>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</si>
  <si>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</si>
  <si>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</si>
  <si>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</si>
  <si>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</si>
  <si>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</si>
  <si>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</si>
  <si>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</si>
  <si>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</si>
  <si>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</si>
  <si>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</si>
  <si>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</si>
  <si>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</si>
  <si>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</si>
  <si>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</si>
  <si>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</si>
  <si>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</si>
  <si>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</si>
  <si>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</si>
  <si>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</si>
  <si>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</si>
  <si>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</si>
  <si>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</si>
  <si>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</si>
  <si>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</si>
  <si>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</si>
  <si>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</si>
  <si>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</si>
  <si>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</si>
  <si>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</si>
  <si>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</si>
  <si>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</si>
  <si>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</si>
  <si>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</si>
  <si>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</si>
  <si>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</si>
  <si>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</si>
  <si>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</si>
  <si>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</si>
  <si>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</si>
  <si>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</si>
  <si>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</si>
  <si>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</si>
  <si>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</si>
  <si>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</si>
  <si>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</si>
  <si>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</si>
  <si>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</si>
  <si>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</si>
  <si>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</si>
  <si>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</si>
  <si>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</si>
  <si>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</si>
  <si>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</si>
  <si>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</si>
  <si>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</si>
  <si>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</si>
  <si>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</si>
  <si>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</si>
  <si>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</si>
  <si>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</si>
  <si>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</si>
  <si>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</si>
  <si>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</si>
  <si>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</si>
  <si>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</si>
  <si>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</si>
  <si>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</si>
  <si>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</si>
  <si>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</si>
  <si>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</si>
  <si>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</si>
  <si>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</si>
  <si>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</si>
  <si>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</si>
  <si>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</si>
  <si>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</si>
  <si>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</si>
  <si>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</si>
  <si>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</si>
  <si>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</si>
  <si>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</si>
  <si>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</si>
  <si>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</si>
  <si>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</si>
  <si>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</si>
  <si>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</si>
  <si>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</si>
  <si>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</si>
  <si>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</si>
  <si>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</si>
  <si>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</si>
  <si>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</si>
  <si>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</si>
  <si>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</si>
  <si>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</si>
  <si>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</si>
  <si>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</si>
  <si>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</si>
  <si>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</si>
  <si>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</si>
  <si>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</si>
  <si>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</si>
  <si>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</si>
  <si>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</si>
  <si>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</si>
  <si>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</si>
  <si>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</si>
  <si>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</si>
  <si>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</si>
  <si>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</si>
  <si>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</si>
  <si>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</si>
  <si>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</si>
  <si>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</si>
  <si>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</si>
  <si>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</si>
  <si>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</si>
  <si>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</si>
  <si>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</si>
  <si>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</si>
  <si>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</si>
  <si>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</si>
  <si>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</si>
  <si>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</si>
  <si>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</si>
  <si>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</si>
  <si>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</si>
  <si>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</si>
  <si>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</si>
  <si>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</si>
  <si>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</si>
  <si>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</si>
  <si>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</si>
  <si>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</si>
  <si>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</si>
  <si>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</si>
  <si>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</si>
  <si>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</si>
  <si>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</si>
  <si>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</si>
  <si>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</si>
  <si>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</si>
  <si>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</si>
  <si>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</si>
  <si>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</si>
  <si>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</si>
  <si>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</si>
  <si>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</si>
  <si>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</si>
  <si>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</si>
  <si>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</si>
  <si>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</si>
  <si>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</si>
  <si>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</si>
  <si>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</si>
  <si>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</si>
  <si>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</si>
  <si>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</si>
  <si>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</si>
  <si>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</si>
  <si>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</si>
  <si>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</si>
  <si>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</si>
  <si>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</si>
  <si>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</si>
  <si>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</si>
  <si>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</si>
  <si>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</si>
  <si>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</si>
  <si>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</si>
  <si>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</si>
  <si>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</si>
  <si>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</si>
  <si>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</si>
  <si>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</si>
  <si>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</si>
  <si>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</si>
  <si>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</si>
  <si>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</si>
  <si>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</si>
  <si>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</si>
  <si>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</si>
  <si>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</si>
  <si>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</si>
  <si>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</si>
  <si>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</si>
  <si>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</si>
  <si>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</si>
  <si>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</si>
  <si>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</si>
  <si>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</si>
  <si>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</si>
  <si>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</si>
  <si>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</si>
  <si>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</si>
  <si>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</si>
  <si>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</si>
  <si>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</si>
  <si>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</si>
  <si>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</si>
  <si>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</si>
  <si>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</si>
  <si>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</si>
  <si>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</si>
  <si>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</si>
  <si>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</si>
  <si>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</si>
  <si>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</si>
  <si>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</si>
  <si>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</si>
  <si>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</si>
  <si>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</si>
  <si>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</si>
  <si>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</si>
  <si>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</si>
  <si>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</si>
  <si>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</si>
  <si>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</si>
  <si>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</si>
  <si>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</si>
  <si>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</si>
  <si>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</si>
  <si>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</si>
  <si>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</si>
  <si>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</si>
  <si>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</si>
  <si>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</si>
  <si>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</si>
  <si>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</si>
  <si>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</si>
  <si>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</si>
  <si>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</si>
  <si>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</si>
  <si>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</si>
  <si>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</si>
  <si>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</si>
  <si>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</si>
  <si>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</si>
  <si>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</si>
  <si>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</si>
  <si>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</si>
  <si>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</si>
  <si>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</si>
  <si>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</si>
  <si>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</si>
  <si>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</si>
  <si>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</si>
  <si>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</si>
  <si>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</si>
  <si>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</si>
  <si>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</si>
  <si>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</si>
  <si>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</si>
  <si>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</si>
  <si>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</si>
  <si>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</si>
  <si>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</si>
  <si>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</si>
  <si>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</si>
  <si>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</si>
  <si>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</si>
  <si>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</si>
  <si>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</si>
  <si>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</si>
  <si>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</si>
  <si>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</si>
  <si>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</si>
  <si>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</si>
  <si>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</si>
  <si>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</si>
  <si>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</si>
  <si>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</si>
  <si>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</si>
  <si>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</si>
  <si>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</si>
  <si>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</si>
  <si>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</si>
  <si>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</si>
  <si>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</si>
  <si>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</si>
  <si>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</si>
  <si>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</si>
  <si>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</si>
  <si>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</si>
  <si>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</si>
  <si>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</si>
  <si>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</si>
  <si>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</si>
  <si>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</si>
  <si>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</si>
  <si>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</si>
  <si>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</si>
  <si>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</si>
  <si>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</si>
  <si>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</si>
  <si>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</si>
  <si>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</si>
  <si>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</si>
  <si>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</si>
  <si>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</si>
  <si>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</si>
  <si>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</si>
  <si>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</si>
  <si>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</si>
  <si>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</si>
  <si>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</si>
  <si>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</si>
  <si>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</si>
  <si>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</si>
  <si>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</si>
  <si>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</si>
  <si>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</si>
  <si>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</si>
  <si>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</si>
  <si>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</si>
  <si>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</si>
  <si>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</si>
  <si>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</si>
  <si>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</si>
  <si>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</si>
  <si>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</si>
  <si>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</si>
  <si>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</si>
  <si>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</si>
  <si>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</si>
  <si>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</si>
  <si>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</si>
  <si>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</si>
  <si>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</si>
  <si>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</si>
  <si>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</si>
  <si>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</si>
  <si>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</si>
  <si>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</si>
  <si>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</si>
  <si>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</si>
  <si>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</si>
  <si>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</si>
  <si>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</si>
  <si>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</si>
  <si>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</si>
  <si>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</si>
  <si>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</si>
  <si>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</si>
  <si>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</si>
  <si>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</si>
  <si>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</si>
  <si>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</si>
  <si>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</si>
  <si>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</si>
  <si>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</si>
  <si>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</si>
  <si>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</si>
  <si>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</si>
  <si>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</si>
  <si>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</si>
  <si>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</si>
  <si>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</si>
  <si>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</si>
  <si>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</si>
  <si>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</si>
  <si>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</si>
  <si>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</si>
  <si>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</si>
  <si>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</si>
  <si>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</si>
  <si>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</si>
  <si>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</si>
  <si>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</si>
  <si>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</si>
  <si>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</si>
  <si>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</si>
  <si>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</si>
  <si>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</si>
  <si>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</si>
  <si>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</si>
  <si>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</si>
  <si>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</si>
  <si>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</si>
  <si>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</si>
  <si>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</si>
  <si>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</si>
  <si>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</si>
  <si>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</si>
  <si>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</si>
  <si>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</si>
  <si>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</si>
  <si>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</si>
  <si>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</si>
  <si>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</si>
  <si>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</si>
  <si>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</si>
  <si>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</si>
  <si>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</si>
  <si>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</si>
  <si>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</si>
  <si>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</si>
  <si>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</si>
  <si>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</si>
  <si>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</si>
  <si>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</si>
  <si>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</si>
  <si>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</si>
  <si>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</si>
  <si>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</si>
  <si>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</si>
  <si>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</si>
  <si>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</si>
  <si>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</si>
  <si>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</si>
  <si>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</si>
  <si>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</si>
  <si>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</si>
  <si>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</si>
  <si>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</si>
  <si>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</si>
  <si>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</si>
  <si>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</si>
  <si>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</si>
  <si>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</si>
  <si>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</si>
  <si>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</si>
  <si>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</si>
  <si>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</si>
  <si>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</si>
  <si>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</si>
  <si>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</si>
  <si>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</si>
  <si>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</si>
  <si>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</si>
  <si>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</si>
  <si>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</si>
  <si>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</si>
  <si>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</si>
  <si>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</si>
  <si>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</si>
  <si>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</si>
  <si>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</si>
  <si>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</si>
  <si>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</si>
  <si>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</si>
  <si>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</si>
  <si>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</si>
  <si>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</si>
  <si>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</si>
  <si>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</si>
  <si>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</si>
  <si>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</si>
  <si>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</si>
  <si>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</si>
  <si>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</si>
  <si>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</si>
  <si>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</si>
  <si>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</si>
  <si>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</si>
  <si>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</si>
  <si>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</si>
  <si>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</si>
  <si>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</si>
  <si>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</si>
  <si>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</si>
  <si>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</si>
  <si>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</si>
  <si>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</si>
  <si>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</si>
  <si>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</si>
  <si>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</si>
  <si>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</si>
  <si>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</si>
  <si>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</si>
  <si>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</si>
  <si>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</si>
  <si>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</si>
  <si>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</si>
  <si>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</si>
  <si>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</si>
  <si>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</si>
  <si>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</si>
  <si>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</si>
  <si>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</si>
  <si>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</si>
  <si>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</si>
  <si>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</si>
  <si>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</si>
  <si>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</si>
  <si>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</si>
  <si>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</si>
  <si>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</si>
  <si>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</si>
  <si>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</si>
  <si>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</si>
  <si>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</si>
  <si>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</si>
  <si>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</si>
  <si>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</si>
  <si>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</si>
  <si>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</si>
  <si>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</si>
  <si>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</si>
  <si>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</si>
  <si>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</si>
  <si>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</si>
  <si>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</si>
  <si>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</si>
  <si>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</si>
  <si>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</si>
  <si>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</si>
  <si>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</si>
  <si>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</si>
  <si>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</si>
  <si>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</si>
  <si>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</si>
  <si>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</si>
  <si>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</si>
  <si>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</si>
  <si>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</si>
  <si>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</si>
  <si>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</si>
  <si>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</si>
  <si>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</si>
  <si>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</si>
  <si>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</si>
  <si>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</si>
  <si>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</si>
  <si>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</si>
  <si>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</si>
  <si>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</si>
  <si>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</si>
  <si>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</si>
  <si>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</si>
  <si>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</si>
  <si>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</si>
  <si>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</si>
  <si>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</si>
  <si>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</si>
  <si>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</si>
  <si>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</si>
  <si>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</si>
  <si>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</si>
  <si>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</si>
  <si>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</si>
  <si>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</si>
  <si>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</si>
  <si>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</si>
  <si>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</si>
  <si>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</si>
  <si>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</si>
  <si>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</si>
  <si>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</si>
  <si>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</si>
  <si>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</si>
  <si>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</si>
  <si>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</si>
  <si>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</si>
  <si>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</si>
  <si>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</si>
  <si>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</si>
  <si>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</si>
  <si>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</si>
  <si>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</si>
  <si>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</si>
  <si>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</si>
  <si>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</si>
  <si>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</si>
  <si>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</si>
  <si>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</si>
  <si>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</si>
  <si>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</si>
  <si>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</si>
  <si>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</si>
  <si>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</si>
  <si>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</si>
  <si>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</si>
  <si>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</si>
  <si>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</si>
  <si>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</si>
  <si>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</si>
  <si>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</si>
  <si>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</si>
  <si>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</si>
  <si>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</si>
  <si>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</si>
  <si>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</si>
  <si>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</si>
  <si>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</si>
  <si>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</si>
  <si>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</si>
  <si>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</si>
  <si>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</si>
  <si>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</si>
  <si>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</si>
  <si>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</si>
  <si>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</si>
  <si>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</si>
  <si>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</si>
  <si>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</si>
  <si>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</si>
  <si>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</si>
  <si>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</si>
  <si>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</si>
  <si>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</si>
  <si>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</si>
  <si>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</si>
  <si>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</si>
  <si>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</si>
  <si>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</si>
  <si>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</si>
  <si>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</si>
  <si>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</si>
  <si>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</si>
  <si>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</si>
  <si>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</si>
  <si>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</si>
  <si>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</si>
  <si>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</si>
  <si>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</si>
  <si>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</si>
  <si>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</si>
  <si>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</si>
  <si>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</si>
  <si>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</si>
  <si>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</si>
  <si>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</si>
  <si>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</si>
  <si>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</si>
  <si>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</si>
  <si>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</si>
  <si>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</si>
  <si>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</si>
  <si>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</si>
  <si>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</si>
  <si>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</si>
  <si>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</si>
  <si>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</si>
  <si>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</si>
  <si>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</si>
  <si>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</si>
  <si>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</si>
  <si>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</si>
  <si>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</si>
  <si>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</si>
  <si>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</si>
  <si>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</si>
  <si>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</si>
  <si>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</si>
  <si>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</si>
  <si>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</si>
  <si>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</si>
  <si>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</si>
  <si>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</si>
  <si>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</si>
  <si>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</si>
  <si>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</si>
  <si>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</si>
  <si>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</si>
  <si>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</si>
  <si>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</si>
  <si>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</si>
  <si>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</si>
  <si>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</si>
  <si>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</si>
  <si>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</si>
  <si>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</si>
  <si>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</si>
  <si>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</si>
  <si>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</si>
  <si>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</si>
  <si>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</si>
  <si>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</si>
  <si>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</si>
  <si>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</si>
  <si>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</si>
  <si>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</si>
  <si>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</si>
  <si>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</si>
  <si>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</si>
  <si>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</si>
  <si>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</si>
  <si>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</si>
  <si>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</si>
  <si>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</si>
  <si>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</si>
  <si>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</si>
  <si>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</si>
  <si>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</si>
  <si>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</si>
  <si>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</si>
  <si>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</si>
  <si>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</si>
  <si>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</si>
  <si>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</si>
  <si>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</si>
  <si>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</si>
  <si>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</si>
  <si>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</si>
  <si>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</si>
  <si>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</si>
  <si>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</si>
  <si>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</si>
  <si>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</si>
  <si>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</si>
  <si>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</si>
  <si>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</si>
  <si>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</si>
  <si>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</si>
  <si>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</si>
  <si>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</si>
  <si>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</si>
  <si>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</si>
  <si>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</si>
  <si>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</si>
  <si>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</si>
  <si>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</si>
  <si>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</si>
  <si>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</si>
  <si>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</si>
  <si>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</si>
  <si>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</si>
  <si>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</si>
  <si>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</si>
  <si>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</si>
  <si>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</si>
  <si>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</si>
  <si>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</si>
  <si>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</si>
  <si>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</si>
  <si>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</si>
  <si>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</si>
  <si>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</si>
  <si>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</si>
  <si>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</si>
  <si>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</si>
  <si>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</si>
  <si>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</si>
  <si>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</si>
  <si>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</si>
  <si>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</si>
  <si>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</si>
  <si>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</si>
  <si>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</si>
  <si>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</si>
  <si>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</si>
  <si>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</si>
  <si>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</si>
  <si>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</si>
  <si>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</si>
  <si>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</si>
  <si>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</si>
  <si>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</si>
  <si>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</si>
  <si>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</si>
  <si>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</si>
  <si>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</si>
  <si>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</si>
  <si>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</si>
  <si>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</si>
  <si>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</si>
  <si>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</si>
  <si>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</si>
  <si>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</si>
  <si>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</si>
  <si>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</si>
  <si>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</si>
  <si>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</si>
  <si>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</si>
  <si>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</si>
  <si>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</si>
  <si>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</si>
  <si>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</si>
  <si>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</si>
  <si>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</si>
  <si>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</si>
  <si>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</si>
  <si>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</si>
  <si>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</si>
  <si>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</si>
  <si>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</si>
  <si>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</si>
  <si>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</si>
  <si>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</si>
  <si>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</si>
  <si>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</si>
  <si>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</si>
  <si>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</si>
  <si>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</si>
  <si>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</si>
  <si>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</si>
  <si>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</si>
  <si>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</si>
  <si>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</si>
  <si>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</si>
  <si>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</si>
  <si>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</si>
  <si>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</si>
  <si>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</si>
  <si>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</si>
  <si>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</si>
  <si>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</si>
  <si>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</si>
  <si>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</si>
  <si>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</si>
  <si>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</si>
  <si>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</si>
  <si>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</si>
  <si>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</si>
  <si>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</si>
  <si>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</si>
  <si>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</si>
  <si>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</si>
  <si>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</si>
  <si>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</si>
  <si>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</si>
  <si>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</si>
  <si>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</si>
  <si>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</si>
  <si>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</si>
  <si>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</si>
  <si>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</si>
  <si>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</si>
  <si>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</si>
  <si>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</si>
  <si>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</si>
  <si>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</si>
  <si>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</si>
  <si>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</si>
  <si>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</si>
  <si>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</si>
  <si>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</si>
  <si>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</si>
  <si>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</si>
  <si>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</si>
  <si>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</si>
  <si>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</si>
  <si>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</si>
  <si>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</si>
  <si>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</si>
  <si>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</si>
  <si>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</si>
  <si>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</si>
  <si>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</si>
  <si>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</si>
  <si>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</si>
  <si>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</si>
  <si>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</si>
  <si>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</si>
  <si>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</si>
  <si>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</si>
  <si>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</si>
  <si>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</si>
  <si>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</si>
  <si>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</si>
  <si>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</si>
  <si>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</si>
  <si>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</si>
  <si>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</si>
  <si>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</si>
  <si>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</si>
  <si>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</si>
  <si>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</si>
  <si>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</si>
  <si>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</si>
  <si>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</si>
  <si>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</si>
  <si>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</si>
  <si>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</si>
  <si>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</si>
  <si>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</si>
  <si>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</si>
  <si>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</si>
  <si>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</si>
  <si>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</si>
  <si>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</si>
  <si>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</si>
  <si>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</si>
  <si>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</si>
  <si>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</si>
  <si>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</si>
  <si>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</si>
  <si>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</si>
  <si>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</si>
  <si>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</si>
  <si>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</si>
  <si>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</si>
  <si>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</si>
  <si>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</si>
  <si>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</si>
  <si>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</si>
  <si>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</si>
  <si>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</si>
  <si>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</si>
  <si>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</si>
  <si>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</si>
  <si>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</si>
  <si>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</si>
  <si>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</si>
  <si>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</si>
  <si>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</si>
  <si>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</si>
  <si>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</si>
  <si>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</si>
  <si>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</si>
  <si>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</si>
  <si>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</si>
  <si>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</si>
  <si>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</si>
  <si>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</si>
  <si>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</si>
  <si>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</si>
  <si>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</si>
  <si>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</si>
  <si>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</si>
  <si>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</si>
  <si>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</si>
  <si>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</si>
  <si>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</si>
  <si>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</si>
  <si>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</si>
  <si>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</si>
  <si>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</si>
  <si>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</si>
  <si>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</si>
  <si>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</si>
  <si>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</si>
  <si>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</si>
  <si>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</si>
  <si>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</si>
  <si>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</si>
  <si>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</si>
  <si>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</si>
  <si>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</si>
  <si>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</si>
  <si>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</si>
  <si>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</si>
  <si>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</si>
  <si>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</si>
  <si>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</si>
  <si>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</si>
  <si>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</si>
  <si>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</si>
  <si>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</si>
  <si>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</si>
  <si>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</si>
  <si>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</si>
  <si>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</si>
  <si>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</si>
  <si>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</si>
  <si>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</si>
  <si>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</si>
  <si>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</si>
  <si>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</si>
  <si>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</si>
  <si>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</si>
  <si>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</si>
  <si>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</si>
  <si>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</si>
  <si>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</si>
  <si>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</si>
  <si>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</si>
  <si>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</si>
  <si>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</si>
  <si>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</si>
  <si>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</si>
  <si>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</si>
  <si>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</si>
  <si>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</si>
  <si>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</si>
  <si>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</si>
  <si>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</si>
  <si>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</si>
  <si>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</si>
  <si>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</si>
  <si>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</si>
  <si>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</si>
  <si>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</si>
  <si>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</si>
  <si>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</si>
  <si>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</si>
  <si>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</si>
  <si>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</si>
  <si>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</si>
  <si>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</si>
  <si>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</si>
  <si>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</si>
  <si>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</si>
  <si>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</si>
  <si>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</si>
  <si>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</si>
  <si>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</si>
  <si>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</si>
  <si>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</si>
  <si>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</si>
  <si>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</si>
  <si>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</si>
  <si>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</si>
  <si>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</si>
  <si>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</si>
  <si>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</si>
  <si>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</si>
  <si>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</si>
  <si>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</si>
  <si>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</si>
  <si>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</si>
  <si>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</si>
  <si>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</si>
  <si>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</si>
  <si>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</si>
  <si>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H. Tuphile</t>
  </si>
  <si>
    <t xml:space="preserve">conforme AFNOR T90-395 oct. 2003</t>
  </si>
  <si>
    <t xml:space="preserve">GARDON DE SAINT JEAN</t>
  </si>
  <si>
    <t xml:space="preserve">Thoiras</t>
  </si>
  <si>
    <t xml:space="preserve">06128720</t>
  </si>
  <si>
    <t xml:space="preserve">7178b - IBMR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</si>
  <si>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</si>
  <si>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</si>
  <si>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</si>
  <si>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</si>
  <si>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</si>
  <si>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</si>
  <si>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</si>
  <si>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</si>
  <si>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</si>
  <si>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</si>
  <si>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</si>
  <si>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</si>
  <si>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</si>
  <si>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</si>
  <si>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</si>
  <si>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</si>
  <si>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</si>
  <si>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</si>
  <si>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</si>
  <si>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</si>
  <si>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</si>
  <si>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</si>
  <si>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</si>
  <si>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</si>
  <si>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</si>
  <si>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</si>
  <si>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</si>
  <si>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</si>
  <si>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</si>
  <si>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</si>
  <si>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</si>
  <si>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</si>
  <si>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</si>
  <si>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</si>
  <si>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</si>
  <si>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</si>
  <si>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</si>
  <si>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</si>
  <si>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</si>
  <si>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</si>
  <si>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</si>
  <si>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</si>
  <si>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</si>
  <si>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</si>
  <si>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</si>
  <si>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</si>
  <si>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</si>
  <si>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</si>
  <si>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</si>
  <si>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(8,5165 %)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</si>
  <si>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</si>
  <si>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</si>
  <si>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</si>
  <si>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</si>
  <si>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</si>
  <si>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</si>
  <si>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</si>
  <si>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</si>
  <si>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</si>
  <si>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</si>
  <si>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</si>
  <si>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</si>
  <si>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</si>
  <si>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</si>
  <si>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</si>
  <si>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</si>
  <si>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</si>
  <si>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</si>
  <si>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</si>
  <si>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</si>
  <si>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</si>
  <si>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Rorippa sylvestris</t>
  </si>
  <si>
    <t xml:space="preserve">Fragilaria sp.</t>
  </si>
  <si>
    <t xml:space="preserve">Gomphoneis sp.</t>
  </si>
  <si>
    <t xml:space="preserve">Juncus compressus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</si>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</sst>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41514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10.8181818181818</v>
      </c>
      <c r="M5" s="323"/>
      <c r="N5" s="324" t="s">
        <v>130</v>
      </c>
      <c r="O5" s="325" t="n">
        <v>10.375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22</v>
      </c>
      <c r="C7" s="337" t="n">
        <v>78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7.46153846153846</v>
      </c>
      <c r="O8" s="354" t="n">
        <f aca="false">IF(ISERROR(AVERAGE(J23:J82)),"      -",AVERAGE(J23:J82))</f>
        <v>1.07692307692308</v>
      </c>
      <c r="P8" s="355"/>
      <c r="Q8" s="280"/>
      <c r="R8" s="280"/>
      <c r="S8" s="280"/>
      <c r="T8" s="280"/>
      <c r="U8" s="280"/>
      <c r="V8" s="280"/>
      <c r="W8" s="292"/>
      <c r="X8" s="293"/>
    </row>
    <row r="9" customFormat="false" ht="13.5" hidden="false" customHeight="false" outlineLevel="0" collapsed="false">
      <c r="A9" s="313" t="s">
        <v>2635</v>
      </c>
      <c r="B9" s="356" t="n">
        <v>24.2</v>
      </c>
      <c r="C9" s="357" t="n">
        <v>4.1</v>
      </c>
      <c r="D9" s="358"/>
      <c r="E9" s="358"/>
      <c r="F9" s="359" t="n">
        <f aca="false">($B9*$B$7+$C9*$C$7)/100</f>
        <v>8.522</v>
      </c>
      <c r="G9" s="360"/>
      <c r="H9" s="361"/>
      <c r="I9" s="362"/>
      <c r="J9" s="363"/>
      <c r="K9" s="343"/>
      <c r="L9" s="364"/>
      <c r="M9" s="353" t="s">
        <v>2636</v>
      </c>
      <c r="N9" s="354" t="n">
        <f aca="false">IF(ISERROR(STDEVP(I23:I82)),"     -",STDEVP(I23:I82))</f>
        <v>5.62433428013259</v>
      </c>
      <c r="O9" s="354" t="n">
        <f aca="false">IF(ISERROR(STDEVP(J23:J82)),"      -",STDEVP(J23:J82))</f>
        <v>0.828486893405308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18</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24.175</v>
      </c>
      <c r="C20" s="436" t="n">
        <f aca="false">SUM(C23:C82)</f>
        <v>4.1</v>
      </c>
      <c r="D20" s="437"/>
      <c r="E20" s="438" t="s">
        <v>2660</v>
      </c>
      <c r="F20" s="439" t="n">
        <f aca="false">($B20*$B$7+$C20*$C$7)/100</f>
        <v>8.5165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5.3185</v>
      </c>
      <c r="C21" s="449" t="n">
        <f aca="false">C20*C7/100</f>
        <v>3.198</v>
      </c>
      <c r="D21" s="381" t="str">
        <f aca="false">IF(F21=0,"",IF((ABS(F21-F19))&gt;(0.2*F21),CONCATENATE(" rec. par taxa (",F21," %) supérieur à 20 % !"),""))</f>
        <v> rec. par taxa (8,5165 %) supérieur à 20 % !</v>
      </c>
      <c r="E21" s="450" t="str">
        <f aca="false">IF(F21=0,"",IF((ABS(F21-F19))&gt;(0.2*F21),CONCATENATE("ATTENTION : écart entre rec. par grp (",F19," %) ","et",""),""))</f>
        <v>ATTENTION : écart entre rec. par grp (0 %) et</v>
      </c>
      <c r="F21" s="451" t="n">
        <f aca="false">B21+C21</f>
        <v>8.5165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6</v>
      </c>
      <c r="C23" s="476" t="n">
        <v>1.5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2.49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2.49</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8</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1.76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1.76</v>
      </c>
      <c r="R24" s="487" t="n">
        <f aca="false">IF(OR(ISTEXT(H24),Q24=0),"",IF(Q24&lt;0.1,1,IF(Q24&lt;1,2,IF(Q24&lt;10,3,IF(Q24&lt;50,4,IF(Q24&gt;=50,5,""))))))</f>
        <v>3</v>
      </c>
      <c r="S24" s="487" t="n">
        <f aca="false">IF(ISERROR(R24*I24),0,R24*I24)</f>
        <v>36</v>
      </c>
      <c r="T24" s="487" t="n">
        <f aca="false">IF(ISERROR(R24*I24*J24),0,R24*I24*J24)</f>
        <v>72</v>
      </c>
      <c r="U24" s="499" t="n">
        <f aca="false">IF(ISERROR(R24*J24),0,R24*J24)</f>
        <v>6</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142</v>
      </c>
      <c r="B25" s="494" t="n">
        <v>0.005</v>
      </c>
      <c r="C25" s="495"/>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0.0011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0.0011</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154</v>
      </c>
      <c r="B26" s="494" t="n">
        <v>0.005</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0.0011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0.0011</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160</v>
      </c>
      <c r="B27" s="494" t="n">
        <v>1</v>
      </c>
      <c r="C27" s="495" t="n">
        <v>0.3</v>
      </c>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0.454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0.454</v>
      </c>
      <c r="R27" s="487" t="n">
        <f aca="false">IF(OR(ISTEXT(H27),Q27=0),"",IF(Q27&lt;0.1,1,IF(Q27&lt;1,2,IF(Q27&lt;10,3,IF(Q27&lt;50,4,IF(Q27&gt;=50,5,""))))))</f>
        <v>2</v>
      </c>
      <c r="S27" s="487" t="n">
        <f aca="false">IF(ISERROR(R27*I27),0,R27*I27)</f>
        <v>20</v>
      </c>
      <c r="T27" s="487" t="n">
        <f aca="false">IF(ISERROR(R27*I27*J27),0,R27*I27*J27)</f>
        <v>20</v>
      </c>
      <c r="U27" s="499" t="n">
        <f aca="false">IF(ISERROR(R27*J27),0,R27*J27)</f>
        <v>2</v>
      </c>
      <c r="V27" s="488" t="str">
        <f aca="false">IF(AND(A27="",F27=0),"",IF(F27=0,"Il manque le(s) % de rec. !",""))</f>
        <v/>
      </c>
      <c r="W27" s="489"/>
      <c r="X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223</v>
      </c>
      <c r="B28" s="494" t="n">
        <v>0.005</v>
      </c>
      <c r="C28" s="495"/>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0.0011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0.0011</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228</v>
      </c>
      <c r="B29" s="494" t="n">
        <v>0.1</v>
      </c>
      <c r="C29" s="495" t="n">
        <v>0.01</v>
      </c>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0.0298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0.0298</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t="s">
        <v>2685</v>
      </c>
      <c r="AB29" s="492"/>
      <c r="AC29" s="492"/>
      <c r="BB29" s="280" t="n">
        <f aca="false">IF(A29="","",1)</f>
        <v>1</v>
      </c>
    </row>
    <row r="30" customFormat="false" ht="12.75" hidden="false" customHeight="false" outlineLevel="0" collapsed="false">
      <c r="A30" s="493" t="s">
        <v>258</v>
      </c>
      <c r="B30" s="494" t="n">
        <v>3</v>
      </c>
      <c r="C30" s="495" t="n">
        <v>0.25</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0.855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0.855</v>
      </c>
      <c r="R30" s="487" t="n">
        <f aca="false">IF(OR(ISTEXT(H30),Q30=0),"",IF(Q30&lt;0.1,1,IF(Q30&lt;1,2,IF(Q30&lt;10,3,IF(Q30&lt;50,4,IF(Q30&gt;=50,5,""))))))</f>
        <v>2</v>
      </c>
      <c r="S30" s="487" t="n">
        <f aca="false">IF(ISERROR(R30*I30),0,R30*I30)</f>
        <v>20</v>
      </c>
      <c r="T30" s="487" t="n">
        <f aca="false">IF(ISERROR(R30*I30*J30),0,R30*I30*J30)</f>
        <v>20</v>
      </c>
      <c r="U30" s="499" t="n">
        <f aca="false">IF(ISERROR(R30*J30),0,R30*J30)</f>
        <v>2</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1153</v>
      </c>
      <c r="B31" s="494" t="n">
        <v>0.005</v>
      </c>
      <c r="C31" s="495" t="n">
        <v>0.005</v>
      </c>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t="s">
        <v>1708</v>
      </c>
      <c r="B32" s="494" t="n">
        <v>0.005</v>
      </c>
      <c r="C32" s="495" t="n">
        <v>0.01</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0.0089</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0.0089</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c r="AB32" s="492"/>
      <c r="AC32" s="492"/>
      <c r="BB32" s="280" t="n">
        <f aca="false">IF(A32="","",1)</f>
        <v>1</v>
      </c>
    </row>
    <row r="33" customFormat="false" ht="12.75" hidden="false" customHeight="false" outlineLevel="0" collapsed="false">
      <c r="A33" s="493" t="s">
        <v>1923</v>
      </c>
      <c r="B33" s="494" t="n">
        <v>0.005</v>
      </c>
      <c r="C33" s="495" t="n">
        <v>0.005</v>
      </c>
      <c r="D33" s="477" t="str">
        <f aca="false">IF(ISERROR(VLOOKUP($A33,'liste reference'!$A$7:$D$904,2,0)),IF(ISERROR(VLOOKUP($A33,'liste reference'!$B$7:$D$904,1,0)),"",VLOOKUP($A33,'liste reference'!$B$7:$D$904,1,0)),VLOOKUP($A33,'liste reference'!$A$7:$D$904,2,0))</f>
        <v>Lysimachia vulgaris</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Lysimachia vulgaris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1887</v>
      </c>
      <c r="Q33" s="486" t="n">
        <f aca="false">IF(ISTEXT(H33),"",(B33*$B$7/100)+(C33*$C$7/100))</f>
        <v>0.005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LYSVUL</v>
      </c>
      <c r="Z33" s="280" t="n">
        <f aca="false">IF(ISERROR(MATCH(A33,'liste reference'!$A$8:$A$904,0)),IF(ISERROR(MATCH(A33,'liste reference'!$B$8:$B$904,0)),"",(MATCH(A33,'liste reference'!$B$8:$B$904,0))),(MATCH(A33,'liste reference'!$A$8:$A$904,0)))</f>
        <v>601</v>
      </c>
      <c r="AA33" s="491"/>
      <c r="AB33" s="492"/>
      <c r="AC33" s="492"/>
      <c r="BB33" s="280" t="n">
        <f aca="false">IF(A33="","",1)</f>
        <v>1</v>
      </c>
    </row>
    <row r="34" customFormat="false" ht="12.75" hidden="false" customHeight="false" outlineLevel="0" collapsed="false">
      <c r="A34" s="493" t="s">
        <v>2204</v>
      </c>
      <c r="B34" s="494" t="n">
        <v>0.005</v>
      </c>
      <c r="C34" s="495"/>
      <c r="D34" s="477" t="str">
        <f aca="false">IF(ISERROR(VLOOKUP($A34,'liste reference'!$A$7:$D$904,2,0)),IF(ISERROR(VLOOKUP($A34,'liste reference'!$B$7:$D$904,1,0)),"",VLOOKUP($A34,'liste reference'!$B$7:$D$904,1,0)),VLOOKUP($A34,'liste reference'!$A$7:$D$904,2,0))</f>
        <v>Cyperus longus</v>
      </c>
      <c r="E34" s="496" t="e">
        <f aca="false">IF(D34="",0,VLOOKUP(D34,D$22:D33,1,0))</f>
        <v>#N/A</v>
      </c>
      <c r="F34" s="500" t="n">
        <f aca="false">($B34*$B$7+$C34*$C$7)/100</f>
        <v>0.0011</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Cyperus longus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1500</v>
      </c>
      <c r="Q34" s="486" t="n">
        <f aca="false">IF(ISTEXT(H34),"",(B34*$B$7/100)+(C34*$C$7/100))</f>
        <v>0.0011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CYPLON</v>
      </c>
      <c r="Z34" s="280" t="n">
        <f aca="false">IF(ISERROR(MATCH(A34,'liste reference'!$A$8:$A$904,0)),IF(ISERROR(MATCH(A34,'liste reference'!$B$8:$B$904,0)),"",(MATCH(A34,'liste reference'!$B$8:$B$904,0))),(MATCH(A34,'liste reference'!$A$8:$A$904,0)))</f>
        <v>724</v>
      </c>
      <c r="AA34" s="491"/>
      <c r="AB34" s="492"/>
      <c r="AC34" s="492"/>
      <c r="BB34" s="280" t="n">
        <f aca="false">IF(A34="","",1)</f>
        <v>1</v>
      </c>
    </row>
    <row r="35" customFormat="false" ht="12.75" hidden="false" customHeight="false" outlineLevel="0" collapsed="false">
      <c r="A35" s="493" t="s">
        <v>2318</v>
      </c>
      <c r="B35" s="494"/>
      <c r="C35" s="495" t="n">
        <v>0.005</v>
      </c>
      <c r="D35" s="477" t="str">
        <f aca="false">IF(ISERROR(VLOOKUP($A35,'liste reference'!$A$7:$D$904,2,0)),IF(ISERROR(VLOOKUP($A35,'liste reference'!$B$7:$D$904,1,0)),"",VLOOKUP($A35,'liste reference'!$B$7:$D$904,1,0)),VLOOKUP($A35,'liste reference'!$A$7:$D$904,2,0))</f>
        <v>Leersia oryzoides</v>
      </c>
      <c r="E35" s="496" t="e">
        <f aca="false">IF(D35="",0,VLOOKUP(D35,D$22:D34,1,0))</f>
        <v>#N/A</v>
      </c>
      <c r="F35" s="500" t="n">
        <f aca="false">($B35*$B$7+$C35*$C$7)/100</f>
        <v>0.0039</v>
      </c>
      <c r="G35" s="479" t="str">
        <f aca="false">IF(A35="","",IF(ISERROR(VLOOKUP($A35,'liste reference'!$A$7:$P$904,13,0)),IF(ISERROR(VLOOKUP($A35,'liste reference'!$B$7:$P$904,12,0)),"    -",VLOOKUP($A35,'liste reference'!$B$7:$P$904,12,0)),VLOOKUP($A35,'liste reference'!$A$7:$P$904,13,0)))</f>
        <v>PHg</v>
      </c>
      <c r="H35" s="480" t="n">
        <f aca="false">IF(A35="","x",IF(ISERROR(VLOOKUP($A35,'liste reference'!$A$8:$P$904,14,0)),IF(ISERROR(VLOOKUP($A35,'liste reference'!$B$8:$P$904,13,0)),"x",VLOOKUP($A35,'liste reference'!$B$8:$P$904,13,0)),VLOOKUP($A35,'liste reference'!$A$8:$P$904,14,0)))</f>
        <v>9</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Leersia oryzoides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1569</v>
      </c>
      <c r="Q35" s="486" t="n">
        <f aca="false">IF(ISTEXT(H35),"",(B35*$B$7/100)+(C35*$C$7/100))</f>
        <v>0.0039</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LEEORY</v>
      </c>
      <c r="Z35" s="280" t="n">
        <f aca="false">IF(ISERROR(MATCH(A35,'liste reference'!$A$8:$A$904,0)),IF(ISERROR(MATCH(A35,'liste reference'!$B$8:$B$904,0)),"",(MATCH(A35,'liste reference'!$B$8:$B$904,0))),(MATCH(A35,'liste reference'!$A$8:$A$904,0)))</f>
        <v>773</v>
      </c>
      <c r="AA35" s="491"/>
      <c r="AB35" s="492"/>
      <c r="AC35" s="492"/>
      <c r="BB35" s="280" t="n">
        <f aca="false">IF(A35="","",1)</f>
        <v>1</v>
      </c>
    </row>
    <row r="36" customFormat="false" ht="12.75" hidden="false" customHeight="false" outlineLevel="0" collapsed="false">
      <c r="A36" s="493" t="s">
        <v>2686</v>
      </c>
      <c r="B36" s="494" t="n">
        <v>0.005</v>
      </c>
      <c r="C36" s="495" t="n">
        <v>0.005</v>
      </c>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0.005</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Paspalum distichum</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c r="AB36" s="492" t="s">
        <v>2687</v>
      </c>
      <c r="AC36" s="492"/>
      <c r="BB36" s="280" t="n">
        <f aca="false">IF(A36="","",1)</f>
        <v>1</v>
      </c>
    </row>
    <row r="37" customFormat="false" ht="12.75" hidden="false" customHeight="false" outlineLevel="0" collapsed="false">
      <c r="A37" s="493" t="s">
        <v>2686</v>
      </c>
      <c r="B37" s="494" t="n">
        <v>0.03</v>
      </c>
      <c r="C37" s="495" t="n">
        <v>0.01</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0.0144</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Rorippa sylvestris</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2688</v>
      </c>
      <c r="AC37" s="492"/>
      <c r="BB37" s="280" t="n">
        <f aca="false">IF(A37="","",1)</f>
        <v>1</v>
      </c>
    </row>
    <row r="38" customFormat="false" ht="12.75" hidden="false" customHeight="false" outlineLevel="0" collapsed="false">
      <c r="A38" s="493" t="s">
        <v>2686</v>
      </c>
      <c r="B38" s="494" t="n">
        <v>5</v>
      </c>
      <c r="C38" s="495" t="n">
        <v>1.7</v>
      </c>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2.426</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Fragilaria sp.</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1"/>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2689</v>
      </c>
      <c r="AC38" s="492"/>
      <c r="BB38" s="280" t="n">
        <f aca="false">IF(A38="","",1)</f>
        <v>1</v>
      </c>
    </row>
    <row r="39" customFormat="false" ht="12.75" hidden="false" customHeight="false" outlineLevel="0" collapsed="false">
      <c r="A39" s="493" t="s">
        <v>2686</v>
      </c>
      <c r="B39" s="494" t="n">
        <v>1</v>
      </c>
      <c r="C39" s="495" t="n">
        <v>0.3</v>
      </c>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0.454</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Gomphoneis sp.</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2690</v>
      </c>
      <c r="AC39" s="492"/>
      <c r="BB39" s="280" t="n">
        <f aca="false">IF(A39="","",1)</f>
        <v>1</v>
      </c>
    </row>
    <row r="40" customFormat="false" ht="12.75" hidden="false" customHeight="false" outlineLevel="0" collapsed="false">
      <c r="A40" s="493" t="s">
        <v>2686</v>
      </c>
      <c r="B40" s="494" t="n">
        <v>0.005</v>
      </c>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0.0011</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Juncus compressus</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2691</v>
      </c>
      <c r="AC40" s="492"/>
      <c r="BB40" s="280" t="n">
        <f aca="false">IF(A40="","",1)</f>
        <v>1</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GARDON DE SAINT JEAN</v>
      </c>
      <c r="B84" s="529" t="str">
        <f aca="false">C3</f>
        <v>Thoiras</v>
      </c>
      <c r="C84" s="530" t="n">
        <f aca="false">A4</f>
        <v>41514</v>
      </c>
      <c r="D84" s="531" t="n">
        <f aca="false">IF(ISERROR(SUM($T$23:$T$82)/SUM($U$23:$U$82)),"",SUM($T$23:$T$82)/SUM($U$23:$U$82))</f>
        <v>10.8181818181818</v>
      </c>
      <c r="E84" s="532" t="n">
        <f aca="false">N13</f>
        <v>18</v>
      </c>
      <c r="F84" s="529" t="n">
        <f aca="false">N14</f>
        <v>13</v>
      </c>
      <c r="G84" s="529" t="n">
        <f aca="false">N15</f>
        <v>4</v>
      </c>
      <c r="H84" s="529" t="n">
        <f aca="false">N16</f>
        <v>5</v>
      </c>
      <c r="I84" s="529" t="n">
        <f aca="false">N17</f>
        <v>0</v>
      </c>
      <c r="J84" s="533" t="n">
        <f aca="false">N8</f>
        <v>7.46153846153846</v>
      </c>
      <c r="K84" s="531" t="n">
        <f aca="false">N9</f>
        <v>5.62433428013259</v>
      </c>
      <c r="L84" s="532" t="n">
        <f aca="false">N10</f>
        <v>0</v>
      </c>
      <c r="M84" s="532" t="n">
        <f aca="false">N11</f>
        <v>15</v>
      </c>
      <c r="N84" s="531" t="n">
        <f aca="false">O8</f>
        <v>1.07692307692308</v>
      </c>
      <c r="O84" s="531" t="n">
        <f aca="false">O9</f>
        <v>0.828486893405308</v>
      </c>
      <c r="P84" s="532" t="n">
        <f aca="false">O10</f>
        <v>0</v>
      </c>
      <c r="Q84" s="532" t="n">
        <f aca="false">O11</f>
        <v>2</v>
      </c>
      <c r="R84" s="532" t="n">
        <f aca="false">F21</f>
        <v>8.5165</v>
      </c>
      <c r="S84" s="532" t="n">
        <f aca="false">K11</f>
        <v>0</v>
      </c>
      <c r="T84" s="532" t="n">
        <f aca="false">K12</f>
        <v>8</v>
      </c>
      <c r="U84" s="532" t="n">
        <f aca="false">K13</f>
        <v>0</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36</v>
      </c>
      <c r="T87" s="280"/>
      <c r="U87" s="280"/>
      <c r="V87" s="280"/>
    </row>
    <row r="88" customFormat="false" ht="12.75" hidden="true" customHeight="false" outlineLevel="0" collapsed="false">
      <c r="P88" s="280"/>
      <c r="Q88" s="280" t="s">
        <v>2695</v>
      </c>
      <c r="R88" s="280"/>
      <c r="S88" s="488" t="n">
        <f aca="false">VLOOKUP((S87),($S$23:$U$82),2,0)</f>
        <v>72</v>
      </c>
      <c r="T88" s="280"/>
      <c r="U88" s="280"/>
      <c r="V88" s="280"/>
    </row>
    <row r="89" customFormat="false" ht="12.75" hidden="true" customHeight="false" outlineLevel="0" collapsed="false">
      <c r="Q89" s="280" t="s">
        <v>2696</v>
      </c>
      <c r="R89" s="280"/>
      <c r="S89" s="488" t="n">
        <f aca="false">VLOOKUP((S87),($S$23:$U$82),3,0)</f>
        <v>6</v>
      </c>
      <c r="T89" s="280"/>
    </row>
    <row r="90" customFormat="false" ht="12.75" hidden="false" customHeight="false" outlineLevel="0" collapsed="false">
      <c r="Q90" s="280" t="s">
        <v>2697</v>
      </c>
      <c r="R90" s="280"/>
      <c r="S90" s="538" t="n">
        <f aca="false">IF(ISERROR(SUM($T$23:$T$82)/SUM($U$23:$U$82)),"",(SUM($T$23:$T$82)-S88)/(SUM($U$23:$U$82)-S89))</f>
        <v>10.375</v>
      </c>
      <c r="T90" s="280"/>
    </row>
    <row r="91" customFormat="false" ht="12.75" hidden="false" customHeight="false" outlineLevel="0" collapsed="false">
      <c r="Q91" s="487" t="s">
        <v>2698</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2699</v>
      </c>
      <c r="R92" s="280"/>
      <c r="S92" s="280" t="n">
        <f aca="false">MATCH(S87,$S$23:$S$82,0)</f>
        <v>2</v>
      </c>
      <c r="T92" s="280"/>
    </row>
    <row r="93" customFormat="false" ht="12.75" hidden="false" customHeight="false" outlineLevel="0" collapsed="false">
      <c r="Q93" s="487" t="s">
        <v>2700</v>
      </c>
      <c r="R93" s="280"/>
      <c r="S93" s="487" t="str">
        <f aca="false">INDEX($A$23:$A$82,$S$92)</f>
        <v>DIASPX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2701</v>
      </c>
      <c r="B2" s="284"/>
      <c r="C2" s="285" t="s">
        <v>2702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2703</v>
      </c>
      <c r="B3" s="284"/>
      <c r="C3" s="283" t="s">
        <v>2704</v>
      </c>
      <c r="D3" s="294"/>
      <c r="E3" s="294"/>
      <c r="F3" s="295"/>
      <c r="G3" s="295"/>
      <c r="H3" s="296"/>
      <c r="I3" s="297"/>
      <c r="J3" s="296"/>
      <c r="K3" s="298" t="s">
        <v>2705</v>
      </c>
      <c r="L3" s="299"/>
      <c r="M3" s="300" t="s">
        <v>2706</v>
      </c>
      <c r="N3" s="301"/>
      <c r="O3" s="301"/>
      <c r="P3" s="302"/>
      <c r="Q3" s="280"/>
      <c r="R3" s="280"/>
      <c r="S3" s="280"/>
      <c r="T3" s="280"/>
      <c r="U3" s="280"/>
      <c r="V3" s="280"/>
      <c r="W3" s="292"/>
      <c r="X3" s="293"/>
    </row>
    <row r="4" customFormat="false" ht="13.5" hidden="false" customHeight="false" outlineLevel="0" collapsed="false">
      <c r="A4" s="303" t="s">
        <v>2707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0</v>
      </c>
      <c r="T87" s="280"/>
      <c r="U87" s="280"/>
      <c r="V87" s="280"/>
    </row>
    <row r="88" customFormat="false" ht="12.75" hidden="true" customHeight="false" outlineLevel="0" collapsed="false">
      <c r="P88" s="280"/>
      <c r="Q88" s="280" t="s">
        <v>2695</v>
      </c>
      <c r="R88" s="280"/>
      <c r="S88" s="488" t="n">
        <f aca="false">VLOOKUP((S87),($S$23:$U$82),2,0)</f>
        <v>0</v>
      </c>
      <c r="T88" s="280"/>
      <c r="U88" s="280"/>
      <c r="V88" s="280"/>
    </row>
    <row r="89" customFormat="false" ht="12.75" hidden="true" customHeight="false" outlineLevel="0" collapsed="false">
      <c r="Q89" s="280" t="s">
        <v>2696</v>
      </c>
      <c r="R89" s="280"/>
      <c r="S89" s="488" t="n">
        <f aca="false">VLOOKUP((S87),($S$23:$U$82),3,0)</f>
        <v>0</v>
      </c>
      <c r="T89" s="280"/>
    </row>
    <row r="90" customFormat="false" ht="12.75" hidden="false" customHeight="false" outlineLevel="0" collapsed="false">
      <c r="Q90" s="280" t="s">
        <v>2697</v>
      </c>
      <c r="R90" s="280"/>
      <c r="S90" s="538" t="str">
        <f aca="false">IF(ISERROR(SUM($T$23:$T$82)/SUM($U$23:$U$82)),"",(SUM($T$23:$T$82)-S88)/(SUM($U$23:$U$82)-S89))</f>
        <v/>
      </c>
      <c r="T90" s="280"/>
    </row>
    <row r="91" customFormat="false" ht="12.75" hidden="false" customHeight="false" outlineLevel="0" collapsed="false">
      <c r="Q91" s="487" t="s">
        <v>2698</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2699</v>
      </c>
      <c r="R92" s="280"/>
      <c r="S92" s="280" t="n">
        <f aca="false">MATCH(S87,$S$23:$S$82,0)</f>
        <v>1</v>
      </c>
      <c r="T92" s="280"/>
    </row>
    <row r="93" customFormat="false" ht="12.75" hidden="false" customHeight="false" outlineLevel="0" collapsed="false">
      <c r="Q93" s="487" t="s">
        <v>2700</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2708</v>
      </c>
      <c r="B1" s="549"/>
      <c r="C1" s="549"/>
      <c r="D1" s="549"/>
    </row>
    <row r="2" customFormat="false" ht="15" hidden="false" customHeight="false" outlineLevel="0" collapsed="false">
      <c r="A2" s="550" t="s">
        <v>2709</v>
      </c>
      <c r="B2" s="551"/>
      <c r="C2" s="552"/>
      <c r="D2" s="552"/>
    </row>
    <row r="3" customFormat="false" ht="15.75" hidden="false" customHeight="false" outlineLevel="0" collapsed="false">
      <c r="A3" s="550" t="s">
        <v>2710</v>
      </c>
      <c r="B3" s="551"/>
      <c r="C3" s="552"/>
      <c r="D3" s="553" t="s">
        <v>2711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2712</v>
      </c>
      <c r="G15" s="571"/>
      <c r="H15" s="572" t="s">
        <v>2713</v>
      </c>
      <c r="I15" s="571"/>
    </row>
    <row r="16" customFormat="false" ht="15" hidden="false" customHeight="false" outlineLevel="0" collapsed="false">
      <c r="A16" s="567" t="s">
        <v>1708</v>
      </c>
      <c r="B16" s="566" t="s">
        <v>1709</v>
      </c>
      <c r="C16" s="568"/>
      <c r="D16" s="569"/>
      <c r="F16" s="573" t="s">
        <v>2714</v>
      </c>
      <c r="G16" s="574"/>
      <c r="H16" s="573" t="s">
        <v>2714</v>
      </c>
      <c r="I16" s="575"/>
    </row>
    <row r="17" customFormat="false" ht="15" hidden="false" customHeight="false" outlineLevel="0" collapsed="false">
      <c r="A17" s="565" t="s">
        <v>2127</v>
      </c>
      <c r="B17" s="566" t="s">
        <v>2128</v>
      </c>
      <c r="C17" s="568"/>
      <c r="D17" s="569"/>
      <c r="F17" s="576" t="s">
        <v>2715</v>
      </c>
      <c r="G17" s="577"/>
      <c r="H17" s="576" t="s">
        <v>2715</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2716</v>
      </c>
      <c r="G19" s="577"/>
      <c r="H19" s="576" t="s">
        <v>2716</v>
      </c>
      <c r="I19" s="578"/>
    </row>
    <row r="20" customFormat="false" ht="15" hidden="false" customHeight="false" outlineLevel="0" collapsed="false">
      <c r="A20" s="567" t="s">
        <v>1714</v>
      </c>
      <c r="B20" s="566" t="s">
        <v>1715</v>
      </c>
      <c r="C20" s="568"/>
      <c r="D20" s="569"/>
      <c r="F20" s="576" t="s">
        <v>2717</v>
      </c>
      <c r="G20" s="577"/>
      <c r="H20" s="576" t="s">
        <v>2717</v>
      </c>
      <c r="I20" s="578"/>
    </row>
    <row r="21" customFormat="false" ht="15" hidden="false" customHeight="false" outlineLevel="0" collapsed="false">
      <c r="A21" s="567" t="s">
        <v>1720</v>
      </c>
      <c r="B21" s="566" t="s">
        <v>1721</v>
      </c>
      <c r="C21" s="568"/>
      <c r="D21" s="569"/>
      <c r="F21" s="576" t="s">
        <v>2718</v>
      </c>
      <c r="G21" s="577"/>
      <c r="H21" s="576" t="s">
        <v>2718</v>
      </c>
      <c r="I21" s="578"/>
    </row>
    <row r="22" customFormat="false" ht="15" hidden="false" customHeight="false" outlineLevel="0" collapsed="false">
      <c r="A22" s="565" t="s">
        <v>1726</v>
      </c>
      <c r="B22" s="566" t="s">
        <v>1727</v>
      </c>
      <c r="C22" s="568"/>
      <c r="D22" s="569"/>
      <c r="F22" s="576" t="s">
        <v>2719</v>
      </c>
      <c r="G22" s="577"/>
      <c r="H22" s="576" t="s">
        <v>2719</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2720</v>
      </c>
      <c r="G24" s="577"/>
      <c r="H24" s="576" t="s">
        <v>2720</v>
      </c>
      <c r="I24" s="578"/>
    </row>
    <row r="25" customFormat="false" ht="15" hidden="false" customHeight="false" outlineLevel="0" collapsed="false">
      <c r="A25" s="565" t="s">
        <v>2133</v>
      </c>
      <c r="B25" s="566" t="s">
        <v>2134</v>
      </c>
      <c r="C25" s="568"/>
      <c r="D25" s="569"/>
      <c r="F25" s="579" t="s">
        <v>2721</v>
      </c>
      <c r="G25" s="580"/>
      <c r="H25" s="579" t="s">
        <v>2721</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2722</v>
      </c>
    </row>
    <row r="35" customFormat="false" ht="15" hidden="false" customHeight="false" outlineLevel="0" collapsed="false">
      <c r="A35" s="565" t="s">
        <v>52</v>
      </c>
      <c r="B35" s="566" t="s">
        <v>53</v>
      </c>
      <c r="C35" s="568"/>
      <c r="D35" s="569"/>
      <c r="F35" s="583" t="s">
        <v>2723</v>
      </c>
    </row>
    <row r="36" customFormat="false" ht="15" hidden="false" customHeight="false" outlineLevel="0" collapsed="false">
      <c r="A36" s="567" t="s">
        <v>320</v>
      </c>
      <c r="B36" s="566" t="s">
        <v>321</v>
      </c>
      <c r="C36" s="568"/>
      <c r="D36" s="569"/>
      <c r="F36" s="585" t="s">
        <v>2724</v>
      </c>
    </row>
    <row r="37" customFormat="false" ht="15" hidden="false" customHeight="false" outlineLevel="0" collapsed="false">
      <c r="A37" s="565" t="s">
        <v>2142</v>
      </c>
      <c r="B37" s="566" t="s">
        <v>2725</v>
      </c>
      <c r="C37" s="568"/>
      <c r="D37" s="569"/>
      <c r="F37" s="585" t="s">
        <v>2726</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2727</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2728</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2729</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2730</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2731</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2732</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2733</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2014-04-07T13:50:11Z</dcterms:modified>
  <cp:revision>0</cp:revision>
  <dc:subject/>
  <dc:title>Feuille d'aide au calcul de l'IBMR</dc:title>
</cp:coreProperties>
</file>