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lzon à Saint Maximin" sheetId="6" state="visible" r:id="rId8"/>
    <sheet name="modele" sheetId="7" state="hidden" r:id="rId9"/>
    <sheet name="liste codes réf" sheetId="8" state="hidden" r:id="rId10"/>
  </sheets>
  <definedNames>
    <definedName function="false" hidden="false" localSheetId="5" name="_xlnm.Print_Area" vbProcedure="false">'Alzon à Saint Maximin'!$A$1:$O$82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'Alzon à Saint Maximin'!$A$23:$J$84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<sst xmlns="http://schemas.openxmlformats.org/spreadsheetml/2006/main" count="7364" uniqueCount="2731">
  <si>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</si>
  <si>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</si>
  <si>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</si>
  <si>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</si>
  <si>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</si>
  <si>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</si>
  <si>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</si>
  <si>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</si>
  <si>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</si>
  <si>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</si>
  <si>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</si>
  <si>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</si>
  <si>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</si>
  <si>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</si>
  <si>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</si>
  <si>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</si>
  <si>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</si>
  <si>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</si>
  <si>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</si>
  <si>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</si>
  <si>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</si>
  <si>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</si>
  <si>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</si>
  <si>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</si>
  <si>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</si>
  <si>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</si>
  <si>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</si>
  <si>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</si>
  <si>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</si>
  <si>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</si>
  <si>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</si>
  <si>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</si>
  <si>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</si>
  <si>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</si>
  <si>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</si>
  <si>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</si>
  <si>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</si>
  <si>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</si>
  <si>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</si>
  <si>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</si>
  <si>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</si>
  <si>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</si>
  <si>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</si>
  <si>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</si>
  <si>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</si>
  <si>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</si>
  <si>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</si>
  <si>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</si>
  <si>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</si>
  <si>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</si>
  <si>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</si>
  <si>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</si>
  <si>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</si>
  <si>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</si>
  <si>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</si>
  <si>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</si>
  <si>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</si>
  <si>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</si>
  <si>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</si>
  <si>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</si>
  <si>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</si>
  <si>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</si>
  <si>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</si>
  <si>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</si>
  <si>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</si>
  <si>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</si>
  <si>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</si>
  <si>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</si>
  <si>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</si>
  <si>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</si>
  <si>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</si>
  <si>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</si>
  <si>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</si>
  <si>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</si>
  <si>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</si>
  <si>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</si>
  <si>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</si>
  <si>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</si>
  <si>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</si>
  <si>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</si>
  <si>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</si>
  <si>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</si>
  <si>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</si>
  <si>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</si>
  <si>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</si>
  <si>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</si>
  <si>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</si>
  <si>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</si>
  <si>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</si>
  <si>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</si>
  <si>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</si>
  <si>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</si>
  <si>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</si>
  <si>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</si>
  <si>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</si>
  <si>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</si>
  <si>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</si>
  <si>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</si>
  <si>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</si>
  <si>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</si>
  <si>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</si>
  <si>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</si>
  <si>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</si>
  <si>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</si>
  <si>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</si>
  <si>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</si>
  <si>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</si>
  <si>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</si>
  <si>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</si>
  <si>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</si>
  <si>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</si>
  <si>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</si>
  <si>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</si>
  <si>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</si>
  <si>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</si>
  <si>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</si>
  <si>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</si>
  <si>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</si>
  <si>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</si>
  <si>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</si>
  <si>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</si>
  <si>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</si>
  <si>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</si>
  <si>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</si>
  <si>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</si>
  <si>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</si>
  <si>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</si>
  <si>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</si>
  <si>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</si>
  <si>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</si>
  <si>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</si>
  <si>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</si>
  <si>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</si>
  <si>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</si>
  <si>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</si>
  <si>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</si>
  <si>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</si>
  <si>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</si>
  <si>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</si>
  <si>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</si>
  <si>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</si>
  <si>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</si>
  <si>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</si>
  <si>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</si>
  <si>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</si>
  <si>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</si>
  <si>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</si>
  <si>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</si>
  <si>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</si>
  <si>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</si>
  <si>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</si>
  <si>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</si>
  <si>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</si>
  <si>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</si>
  <si>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</si>
  <si>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</si>
  <si>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</si>
  <si>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</si>
  <si>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</si>
  <si>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</si>
  <si>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</si>
  <si>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</si>
  <si>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</si>
  <si>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</si>
  <si>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</si>
  <si>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</si>
  <si>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</si>
  <si>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</si>
  <si>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</si>
  <si>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</si>
  <si>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</si>
  <si>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</si>
  <si>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</si>
  <si>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</si>
  <si>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</si>
  <si>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</si>
  <si>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</si>
  <si>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</si>
  <si>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</si>
  <si>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</si>
  <si>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</si>
  <si>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</si>
  <si>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</si>
  <si>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</si>
  <si>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</si>
  <si>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</si>
  <si>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</si>
  <si>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</si>
  <si>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</si>
  <si>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</si>
  <si>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</si>
  <si>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</si>
  <si>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</si>
  <si>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</si>
  <si>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</si>
  <si>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</si>
  <si>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</si>
  <si>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</si>
  <si>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</si>
  <si>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</si>
  <si>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</si>
  <si>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</si>
  <si>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</si>
  <si>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</si>
  <si>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</si>
  <si>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</si>
  <si>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</si>
  <si>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</si>
  <si>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</si>
  <si>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</si>
  <si>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</si>
  <si>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</si>
  <si>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</si>
  <si>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</si>
  <si>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</si>
  <si>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</si>
  <si>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</si>
  <si>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</si>
  <si>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</si>
  <si>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</si>
  <si>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</si>
  <si>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</si>
  <si>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</si>
  <si>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</si>
  <si>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</si>
  <si>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</si>
  <si>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</si>
  <si>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</si>
  <si>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</si>
  <si>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</si>
  <si>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</si>
  <si>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</si>
  <si>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</si>
  <si>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</si>
  <si>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</si>
  <si>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</si>
  <si>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</si>
  <si>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</si>
  <si>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</si>
  <si>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</si>
  <si>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</si>
  <si>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</si>
  <si>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</si>
  <si>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</si>
  <si>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</si>
  <si>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</si>
  <si>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</si>
  <si>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</si>
  <si>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</si>
  <si>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</si>
  <si>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</si>
  <si>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</si>
  <si>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</si>
  <si>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</si>
  <si>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</si>
  <si>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</si>
  <si>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</si>
  <si>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</si>
  <si>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</si>
  <si>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</si>
  <si>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</si>
  <si>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</si>
  <si>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</si>
  <si>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</si>
  <si>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</si>
  <si>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</si>
  <si>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</si>
  <si>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</si>
  <si>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</si>
  <si>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</si>
  <si>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</si>
  <si>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</si>
  <si>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</si>
  <si>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</si>
  <si>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</si>
  <si>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</si>
  <si>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</si>
  <si>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</si>
  <si>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</si>
  <si>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</si>
  <si>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</si>
  <si>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</si>
  <si>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</si>
  <si>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</si>
  <si>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</si>
  <si>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</si>
  <si>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</si>
  <si>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</si>
  <si>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</si>
  <si>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</si>
  <si>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</si>
  <si>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</si>
  <si>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</si>
  <si>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</si>
  <si>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</si>
  <si>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</si>
  <si>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</si>
  <si>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</si>
  <si>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</si>
  <si>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</si>
  <si>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</si>
  <si>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</si>
  <si>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</si>
  <si>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</si>
  <si>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</si>
  <si>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</si>
  <si>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</si>
  <si>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</si>
  <si>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</si>
  <si>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</si>
  <si>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</si>
  <si>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</si>
  <si>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</si>
  <si>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</si>
  <si>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</si>
  <si>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</si>
  <si>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</si>
  <si>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</si>
  <si>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</si>
  <si>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</si>
  <si>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</si>
  <si>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</si>
  <si>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</si>
  <si>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</si>
  <si>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</si>
  <si>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</si>
  <si>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</si>
  <si>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</si>
  <si>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</si>
  <si>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</si>
  <si>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</si>
  <si>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</si>
  <si>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</si>
  <si>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</si>
  <si>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</si>
  <si>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</si>
  <si>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</si>
  <si>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</si>
  <si>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</si>
  <si>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</si>
  <si>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</si>
  <si>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</si>
  <si>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</si>
  <si>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</si>
  <si>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</si>
  <si>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</si>
  <si>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</si>
  <si>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</si>
  <si>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</si>
  <si>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</si>
  <si>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</si>
  <si>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</si>
  <si>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</si>
  <si>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</si>
  <si>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</si>
  <si>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</si>
  <si>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</si>
  <si>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</si>
  <si>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</si>
  <si>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</si>
  <si>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</si>
  <si>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</si>
  <si>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</si>
  <si>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</si>
  <si>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</si>
  <si>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</si>
  <si>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</si>
  <si>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</si>
  <si>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</si>
  <si>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</si>
  <si>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</si>
  <si>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</si>
  <si>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</si>
  <si>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</si>
  <si>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</si>
  <si>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</si>
  <si>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</si>
  <si>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</si>
  <si>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</si>
  <si>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</si>
  <si>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</si>
  <si>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</si>
  <si>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</si>
  <si>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</si>
  <si>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</si>
  <si>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</si>
  <si>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</si>
  <si>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</si>
  <si>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</si>
  <si>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</si>
  <si>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</si>
  <si>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</si>
  <si>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</si>
  <si>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</si>
  <si>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</si>
  <si>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</si>
  <si>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</si>
  <si>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</si>
  <si>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</si>
  <si>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</si>
  <si>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</si>
  <si>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</si>
  <si>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</si>
  <si>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</si>
  <si>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</si>
  <si>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</si>
  <si>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</si>
  <si>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</si>
  <si>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</si>
  <si>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</si>
  <si>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</si>
  <si>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</si>
  <si>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</si>
  <si>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</si>
  <si>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</si>
  <si>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</si>
  <si>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</si>
  <si>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</si>
  <si>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</si>
  <si>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</si>
  <si>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</si>
  <si>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</si>
  <si>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</si>
  <si>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</si>
  <si>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</si>
  <si>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</si>
  <si>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</si>
  <si>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</si>
  <si>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</si>
  <si>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</si>
  <si>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</si>
  <si>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</si>
  <si>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</si>
  <si>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</si>
  <si>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</si>
  <si>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</si>
  <si>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</si>
  <si>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</si>
  <si>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</si>
  <si>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</si>
  <si>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</si>
  <si>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</si>
  <si>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</si>
  <si>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</si>
  <si>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</si>
  <si>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</si>
  <si>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</si>
  <si>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</si>
  <si>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</si>
  <si>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</si>
  <si>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</si>
  <si>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</si>
  <si>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</si>
  <si>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</si>
  <si>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</si>
  <si>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</si>
  <si>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</si>
  <si>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</si>
  <si>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</si>
  <si>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</si>
  <si>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</si>
  <si>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</si>
  <si>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</si>
  <si>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</si>
  <si>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</si>
  <si>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</si>
  <si>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</si>
  <si>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</si>
  <si>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</si>
  <si>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</si>
  <si>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</si>
  <si>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</si>
  <si>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</si>
  <si>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</si>
  <si>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</si>
  <si>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</si>
  <si>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</si>
  <si>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</si>
  <si>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</si>
  <si>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</si>
  <si>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</si>
  <si>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</si>
  <si>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</si>
  <si>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</si>
  <si>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</si>
  <si>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</si>
  <si>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</si>
  <si>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</si>
  <si>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</si>
  <si>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</si>
  <si>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</si>
  <si>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</si>
  <si>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</si>
  <si>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</si>
  <si>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</si>
  <si>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</si>
  <si>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</si>
  <si>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</si>
  <si>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</si>
  <si>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</si>
  <si>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</si>
  <si>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</si>
  <si>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</si>
  <si>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</si>
  <si>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</si>
  <si>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</si>
  <si>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</si>
  <si>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</si>
  <si>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</si>
  <si>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</si>
  <si>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</si>
  <si>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</si>
  <si>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</si>
  <si>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</si>
  <si>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</si>
  <si>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</si>
  <si>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</si>
  <si>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</si>
  <si>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</si>
  <si>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</si>
  <si>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</si>
  <si>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</si>
  <si>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</si>
  <si>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</si>
  <si>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</si>
  <si>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</si>
  <si>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</si>
  <si>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</si>
  <si>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</si>
  <si>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</si>
  <si>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</si>
  <si>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</si>
  <si>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</si>
  <si>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</si>
  <si>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</si>
  <si>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</si>
  <si>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</si>
  <si>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</si>
  <si>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</si>
  <si>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</si>
  <si>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</si>
  <si>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</si>
  <si>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</si>
  <si>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</si>
  <si>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</si>
  <si>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</si>
  <si>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</si>
  <si>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</si>
  <si>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</si>
  <si>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</si>
  <si>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</si>
  <si>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</si>
  <si>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</si>
  <si>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</si>
  <si>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</si>
  <si>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</si>
  <si>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</si>
  <si>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</si>
  <si>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</si>
  <si>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</si>
  <si>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</si>
  <si>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</si>
  <si>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</si>
  <si>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</si>
  <si>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</si>
  <si>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</si>
  <si>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</si>
  <si>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</si>
  <si>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</si>
  <si>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</si>
  <si>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</si>
  <si>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</si>
  <si>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</si>
  <si>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</si>
  <si>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</si>
  <si>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</si>
  <si>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</si>
  <si>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</si>
  <si>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</si>
  <si>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</si>
  <si>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</si>
  <si>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</si>
  <si>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</si>
  <si>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</si>
  <si>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</si>
  <si>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</si>
  <si>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</si>
  <si>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</si>
  <si>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</si>
  <si>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</si>
  <si>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</si>
  <si>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</si>
  <si>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</si>
  <si>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</si>
  <si>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</si>
  <si>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</si>
  <si>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</si>
  <si>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</si>
  <si>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</si>
  <si>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</si>
  <si>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</si>
  <si>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</si>
  <si>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</si>
  <si>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</si>
  <si>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</si>
  <si>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</si>
  <si>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</si>
  <si>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</si>
  <si>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</si>
  <si>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</si>
  <si>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</si>
  <si>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</si>
  <si>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</si>
  <si>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</si>
  <si>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</si>
  <si>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</si>
  <si>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</si>
  <si>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</si>
  <si>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</si>
  <si>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</si>
  <si>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</si>
  <si>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</si>
  <si>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</si>
  <si>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</si>
  <si>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</si>
  <si>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</si>
  <si>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</si>
  <si>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</si>
  <si>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</si>
  <si>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</si>
  <si>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</si>
  <si>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</si>
  <si>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</si>
  <si>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</si>
  <si>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</si>
  <si>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</si>
  <si>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</si>
  <si>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</si>
  <si>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</si>
  <si>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</si>
  <si>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</si>
  <si>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</si>
  <si>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</si>
  <si>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</si>
  <si>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</si>
  <si>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</si>
  <si>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</si>
  <si>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</si>
  <si>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</si>
  <si>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</si>
  <si>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</si>
  <si>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</si>
  <si>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</si>
  <si>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</si>
  <si>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</si>
  <si>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</si>
  <si>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</si>
  <si>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</si>
  <si>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</si>
  <si>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</si>
  <si>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</si>
  <si>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</si>
  <si>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</si>
  <si>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</si>
  <si>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</si>
  <si>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</si>
  <si>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</si>
  <si>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</si>
  <si>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</si>
  <si>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</si>
  <si>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</si>
  <si>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</si>
  <si>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</si>
  <si>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</si>
  <si>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</si>
  <si>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</si>
  <si>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</si>
  <si>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</si>
  <si>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</si>
  <si>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</si>
  <si>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</si>
  <si>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</si>
  <si>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</si>
  <si>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</si>
  <si>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</si>
  <si>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</si>
  <si>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</si>
  <si>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</si>
  <si>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</si>
  <si>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</si>
  <si>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</si>
  <si>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</si>
  <si>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</si>
  <si>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</si>
  <si>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</si>
  <si>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</si>
  <si>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</si>
  <si>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</si>
  <si>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</si>
  <si>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</si>
  <si>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</si>
  <si>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</si>
  <si>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</si>
  <si>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</si>
  <si>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</si>
  <si>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</si>
  <si>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</si>
  <si>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</si>
  <si>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</si>
  <si>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</si>
  <si>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</si>
  <si>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</si>
  <si>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</si>
  <si>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</si>
  <si>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</si>
  <si>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</si>
  <si>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</si>
  <si>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</si>
  <si>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</si>
  <si>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</si>
  <si>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</si>
  <si>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</si>
  <si>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</si>
  <si>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</si>
  <si>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</si>
  <si>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</si>
  <si>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</si>
  <si>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</si>
  <si>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</si>
  <si>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</si>
  <si>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</si>
  <si>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</si>
  <si>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</si>
  <si>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</si>
  <si>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</si>
  <si>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</si>
  <si>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</si>
  <si>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</si>
  <si>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</si>
  <si>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</si>
  <si>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</si>
  <si>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</si>
  <si>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</si>
  <si>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</si>
  <si>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</si>
  <si>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</si>
  <si>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</si>
  <si>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</si>
  <si>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</si>
  <si>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</si>
  <si>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</si>
  <si>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</si>
  <si>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</si>
  <si>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</si>
  <si>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</si>
  <si>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</si>
  <si>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</si>
  <si>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</si>
  <si>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</si>
  <si>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</si>
  <si>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</si>
  <si>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</si>
  <si>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</si>
  <si>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</si>
  <si>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</si>
  <si>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</si>
  <si>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</si>
  <si>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</si>
  <si>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</si>
  <si>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</si>
  <si>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</si>
  <si>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</si>
  <si>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</si>
  <si>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</si>
  <si>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</si>
  <si>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</si>
  <si>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</si>
  <si>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</si>
  <si>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</si>
  <si>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</si>
  <si>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</si>
  <si>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</si>
  <si>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</si>
  <si>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</si>
  <si>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</si>
  <si>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</si>
  <si>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</si>
  <si>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</si>
  <si>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</si>
  <si>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</si>
  <si>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</si>
  <si>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</si>
  <si>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</si>
  <si>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</si>
  <si>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</si>
  <si>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</si>
  <si>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</si>
  <si>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</si>
  <si>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</si>
  <si>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</si>
  <si>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</si>
  <si>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</si>
  <si>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</si>
  <si>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</si>
  <si>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</si>
  <si>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</si>
  <si>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</si>
  <si>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</si>
  <si>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</si>
  <si>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</si>
  <si>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</si>
  <si>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</si>
  <si>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</si>
  <si>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</si>
  <si>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</si>
  <si>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</si>
  <si>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</si>
  <si>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</si>
  <si>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</si>
  <si>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</si>
  <si>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</si>
  <si>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</si>
  <si>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</si>
  <si>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</si>
  <si>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</si>
  <si>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</si>
  <si>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</si>
  <si>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</si>
  <si>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</si>
  <si>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</si>
  <si>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</si>
  <si>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</si>
  <si>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</si>
  <si>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</si>
  <si>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</si>
  <si>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</si>
  <si>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</si>
  <si>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</si>
  <si>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</si>
  <si>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</si>
  <si>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</si>
  <si>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</si>
  <si>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</si>
  <si>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</si>
  <si>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</si>
  <si>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</si>
  <si>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</si>
  <si>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</si>
  <si>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</si>
  <si>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</si>
  <si>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</si>
  <si>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</si>
  <si>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</si>
  <si>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</si>
  <si>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</si>
  <si>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</si>
  <si>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</si>
  <si>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</si>
  <si>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</si>
  <si>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</si>
  <si>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</si>
  <si>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</si>
  <si>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</si>
  <si>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</si>
  <si>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</si>
  <si>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</si>
  <si>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</si>
  <si>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</si>
  <si>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</si>
  <si>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</si>
  <si>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</si>
  <si>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</si>
  <si>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</si>
  <si>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</si>
  <si>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</si>
  <si>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</si>
  <si>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</si>
  <si>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</si>
  <si>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</si>
  <si>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</si>
  <si>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</si>
  <si>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</si>
  <si>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</si>
  <si>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</si>
  <si>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</si>
  <si>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</si>
  <si>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</si>
  <si>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</si>
  <si>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</si>
  <si>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</si>
  <si>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</si>
  <si>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</si>
  <si>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</si>
  <si>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</si>
  <si>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</si>
  <si>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</si>
  <si>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</si>
  <si>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</si>
  <si>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</si>
  <si>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</si>
  <si>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</si>
  <si>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</si>
  <si>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</si>
  <si>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</si>
  <si>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</si>
  <si>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</si>
  <si>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</si>
  <si>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</si>
  <si>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</si>
  <si>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</si>
  <si>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</si>
  <si>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</si>
  <si>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</si>
  <si>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</si>
  <si>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</si>
  <si>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</si>
  <si>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</si>
  <si>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</si>
  <si>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</si>
  <si>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</si>
  <si>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</si>
  <si>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</si>
  <si>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</si>
  <si>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</si>
  <si>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</si>
  <si>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</si>
  <si>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</si>
  <si>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</si>
  <si>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</si>
  <si>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</si>
  <si>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</si>
  <si>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</si>
  <si>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</si>
  <si>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</si>
  <si>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</si>
  <si>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</si>
  <si>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</si>
  <si>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</si>
  <si>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</si>
  <si>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</si>
  <si>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</si>
  <si>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</si>
  <si>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</si>
  <si>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</si>
  <si>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</si>
  <si>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</si>
  <si>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</si>
  <si>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</si>
  <si>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</si>
  <si>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</si>
  <si>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</si>
  <si>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</si>
  <si>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</si>
  <si>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</si>
  <si>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</si>
  <si>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</si>
  <si>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</si>
  <si>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</si>
  <si>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</si>
  <si>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</si>
  <si>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</si>
  <si>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</si>
  <si>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</si>
  <si>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</si>
  <si>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</si>
  <si>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</si>
  <si>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</si>
  <si>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</si>
  <si>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</si>
  <si>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</si>
  <si>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</si>
  <si>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</si>
  <si>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</si>
  <si>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</si>
  <si>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</si>
  <si>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</si>
  <si>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</si>
  <si>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</si>
  <si>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</si>
  <si>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</si>
  <si>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</si>
  <si>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</si>
  <si>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</si>
  <si>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</si>
  <si>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</si>
  <si>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</si>
  <si>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</si>
  <si>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</si>
  <si>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</si>
  <si>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</si>
  <si>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</si>
  <si>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</si>
  <si>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</si>
  <si>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</si>
  <si>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</si>
  <si>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</si>
  <si>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</si>
  <si>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</si>
  <si>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</si>
  <si>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</si>
  <si>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</si>
  <si>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</si>
  <si>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</si>
  <si>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</si>
  <si>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</si>
  <si>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</si>
  <si>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</si>
  <si>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</si>
  <si>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</si>
  <si>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</si>
  <si>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</si>
  <si>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</si>
  <si>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</si>
  <si>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</si>
  <si>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</si>
  <si>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</si>
  <si>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</si>
  <si>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</si>
  <si>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</si>
  <si>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</si>
  <si>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</si>
  <si>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</si>
  <si>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</si>
  <si>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</si>
  <si>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</si>
  <si>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</si>
  <si>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</si>
  <si>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</si>
  <si>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</si>
  <si>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</si>
  <si>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</si>
  <si>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</si>
  <si>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</si>
  <si>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</si>
  <si>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</si>
  <si>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</si>
  <si>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</si>
  <si>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</si>
  <si>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</si>
  <si>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</si>
  <si>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</si>
  <si>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</si>
  <si>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</si>
  <si>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</si>
  <si>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</si>
  <si>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</si>
  <si>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</si>
  <si>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</si>
  <si>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</si>
  <si>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</si>
  <si>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</si>
  <si>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</si>
  <si>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</si>
  <si>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</si>
  <si>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</si>
  <si>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</si>
  <si>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</si>
  <si>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</si>
  <si>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</si>
  <si>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</si>
  <si>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</si>
  <si>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</si>
  <si>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</si>
  <si>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</si>
  <si>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</si>
  <si>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</si>
  <si>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</si>
  <si>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</si>
  <si>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</si>
  <si>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</si>
  <si>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</si>
  <si>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</si>
  <si>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</si>
  <si>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</si>
  <si>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</si>
  <si>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</si>
  <si>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</si>
  <si>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</si>
  <si>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</si>
  <si>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</si>
  <si>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</si>
  <si>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</si>
  <si>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</si>
  <si>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</si>
  <si>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</si>
  <si>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</si>
  <si>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</si>
  <si>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</si>
  <si>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</si>
  <si>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</si>
  <si>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</si>
  <si>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</si>
  <si>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</si>
  <si>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</si>
  <si>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</si>
  <si>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</si>
  <si>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</si>
  <si>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</si>
  <si>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</si>
  <si>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</si>
  <si>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</si>
  <si>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</si>
  <si>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</si>
  <si>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</si>
  <si>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</si>
  <si>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</si>
  <si>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</si>
  <si>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</si>
  <si>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</si>
  <si>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</si>
  <si>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</si>
  <si>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</si>
  <si>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</si>
  <si>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</si>
  <si>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</si>
  <si>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</si>
  <si>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</si>
  <si>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</si>
  <si>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</si>
  <si>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</si>
  <si>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</si>
  <si>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</si>
  <si>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</si>
  <si>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</si>
  <si>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</si>
  <si>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</si>
  <si>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</si>
  <si>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</si>
  <si>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</si>
  <si>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</si>
  <si>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</si>
  <si>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</si>
  <si>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</si>
  <si>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</si>
  <si>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</si>
  <si>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</si>
  <si>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</si>
  <si>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</si>
  <si>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</si>
  <si>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</si>
  <si>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</si>
  <si>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</si>
  <si>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</si>
  <si>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</si>
  <si>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</si>
  <si>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</si>
  <si>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</si>
  <si>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</si>
  <si>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</si>
  <si>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</si>
  <si>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</si>
  <si>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</si>
  <si>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</si>
  <si>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</si>
  <si>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</si>
  <si>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</si>
  <si>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</si>
  <si>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</si>
  <si>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</si>
  <si>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</si>
  <si>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</si>
  <si>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</si>
  <si>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</si>
  <si>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</si>
  <si>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</si>
  <si>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</si>
  <si>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</si>
  <si>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</si>
  <si>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</si>
  <si>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</si>
  <si>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</si>
  <si>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</si>
  <si>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</si>
  <si>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</si>
  <si>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</si>
  <si>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</si>
  <si>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</si>
  <si>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</si>
  <si>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</si>
  <si>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</si>
  <si>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</si>
  <si>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</si>
  <si>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</si>
  <si>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</si>
  <si>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</si>
  <si>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</si>
  <si>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</si>
  <si>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</si>
  <si>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</si>
  <si>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</si>
  <si>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</si>
  <si>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</si>
  <si>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</si>
  <si>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</si>
  <si>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</si>
  <si>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</si>
  <si>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</si>
  <si>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</si>
  <si>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</si>
  <si>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</si>
  <si>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</si>
  <si>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</si>
  <si>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</si>
  <si>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</si>
  <si>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</si>
  <si>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</si>
  <si>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</si>
  <si>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</si>
  <si>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</si>
  <si>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</si>
  <si>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</si>
  <si>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</si>
  <si>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</si>
  <si>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</si>
  <si>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</si>
  <si>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</si>
  <si>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</si>
  <si>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</si>
  <si>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</si>
  <si>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</si>
  <si>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</si>
  <si>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</si>
  <si>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</si>
  <si>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</si>
  <si>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</si>
  <si>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</si>
  <si>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</si>
  <si>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</si>
  <si>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</si>
  <si>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</si>
  <si>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</si>
  <si>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</si>
  <si>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</si>
  <si>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</si>
  <si>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</si>
  <si>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</si>
  <si>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</si>
  <si>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</si>
  <si>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</si>
  <si>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</si>
  <si>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</si>
  <si>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</si>
  <si>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</si>
  <si>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</si>
  <si>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</si>
  <si>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</si>
  <si>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</si>
  <si>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</si>
  <si>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</si>
  <si>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</si>
  <si>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</si>
  <si>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</si>
  <si>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</si>
  <si>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</si>
  <si>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</si>
  <si>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</si>
  <si>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</si>
  <si>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</si>
  <si>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</si>
  <si>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</si>
  <si>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</si>
  <si>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</si>
  <si>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</si>
  <si>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</si>
  <si>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</si>
  <si>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</si>
  <si>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</si>
  <si>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</si>
  <si>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</si>
  <si>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</si>
  <si>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</si>
  <si>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</si>
  <si>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</si>
  <si>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</si>
  <si>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</si>
  <si>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</si>
  <si>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</si>
  <si>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</si>
  <si>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</si>
  <si>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</si>
  <si>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</si>
  <si>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</si>
  <si>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</si>
  <si>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</si>
  <si>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</si>
  <si>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</si>
  <si>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</si>
  <si>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</si>
  <si>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</si>
  <si>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</si>
  <si>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</si>
  <si>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</si>
  <si>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</si>
  <si>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</si>
  <si>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</si>
  <si>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</si>
  <si>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</si>
  <si>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</si>
  <si>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</si>
  <si>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</si>
  <si>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</si>
  <si>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</si>
  <si>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</si>
  <si>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</si>
  <si>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</si>
  <si>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</si>
  <si>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</si>
  <si>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</si>
  <si>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</si>
  <si>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</si>
  <si>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</si>
  <si>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</si>
  <si>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</si>
  <si>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</si>
  <si>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</si>
  <si>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</si>
  <si>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</si>
  <si>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</si>
  <si>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</si>
  <si>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</si>
  <si>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</si>
  <si>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</si>
  <si>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</si>
  <si>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</si>
  <si>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</si>
  <si>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</si>
  <si>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</si>
  <si>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</si>
  <si>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</si>
  <si>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</si>
  <si>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</si>
  <si>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</si>
  <si>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</si>
  <si>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</si>
  <si>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</si>
  <si>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</si>
  <si>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</si>
  <si>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</si>
  <si>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</si>
  <si>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</si>
  <si>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</si>
  <si>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</si>
  <si>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</si>
  <si>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</si>
  <si>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</si>
  <si>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</si>
  <si>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</si>
  <si>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</si>
  <si>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</si>
  <si>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</si>
  <si>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</si>
  <si>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</si>
  <si>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</si>
  <si>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</si>
  <si>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</si>
  <si>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</si>
  <si>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</si>
  <si>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</si>
  <si>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</si>
  <si>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</si>
  <si>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</si>
  <si>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</si>
  <si>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</si>
  <si>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</si>
  <si>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</si>
  <si>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</si>
  <si>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</si>
  <si>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</si>
  <si>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</si>
  <si>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</si>
  <si>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</si>
  <si>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</si>
  <si>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</si>
  <si>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</si>
  <si>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</si>
  <si>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</si>
  <si>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</si>
  <si>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</si>
  <si>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</si>
  <si>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</si>
  <si>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</si>
  <si>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</si>
  <si>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</si>
  <si>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</si>
  <si>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</si>
  <si>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</si>
  <si>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</si>
  <si>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</si>
  <si>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</si>
  <si>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</si>
  <si>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</si>
  <si>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</si>
  <si>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</si>
  <si>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</si>
  <si>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</si>
  <si>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</si>
  <si>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</si>
  <si>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</si>
  <si>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</si>
  <si>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</si>
  <si>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</si>
  <si>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</si>
  <si>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</si>
  <si>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</si>
  <si>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</si>
  <si>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</si>
  <si>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</si>
  <si>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</si>
  <si>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</si>
  <si>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</si>
  <si>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</si>
  <si>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</si>
  <si>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</si>
  <si>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</si>
  <si>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</si>
  <si>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</si>
  <si>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</si>
  <si>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</si>
  <si>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</si>
  <si>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</si>
  <si>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</si>
  <si>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</si>
  <si>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</si>
  <si>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</si>
  <si>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</si>
  <si>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</si>
  <si>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</si>
  <si>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</si>
  <si>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</si>
  <si>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</si>
  <si>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</si>
  <si>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</si>
  <si>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</si>
  <si>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</si>
  <si>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</si>
  <si>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</si>
  <si>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</si>
  <si>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</si>
  <si>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</si>
  <si>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</si>
  <si>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</si>
  <si>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</si>
  <si>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</si>
  <si>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</si>
  <si>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</si>
  <si>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</si>
  <si>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</si>
  <si>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</si>
  <si>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</si>
  <si>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</si>
  <si>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</si>
  <si>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</si>
  <si>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</si>
  <si>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</si>
  <si>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</si>
  <si>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</si>
  <si>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</si>
  <si>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</si>
  <si>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</si>
  <si>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</si>
  <si>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</si>
  <si>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</si>
  <si>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</si>
  <si>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</si>
  <si>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</si>
  <si>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</si>
  <si>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</si>
  <si>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</si>
  <si>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</si>
  <si>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</si>
  <si>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</si>
  <si>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</si>
  <si>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</si>
  <si>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</si>
  <si>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</si>
  <si>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</si>
  <si>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</si>
  <si>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</si>
  <si>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</si>
  <si>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</si>
  <si>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</si>
  <si>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</si>
  <si>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</si>
  <si>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</si>
  <si>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</si>
  <si>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</si>
  <si>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</si>
  <si>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</si>
  <si>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</si>
  <si>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</si>
  <si>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</si>
  <si>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</si>
  <si>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</si>
  <si>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</si>
  <si>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</si>
  <si>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</si>
  <si>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</si>
  <si>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</si>
  <si>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</si>
  <si>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</si>
  <si>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</si>
  <si>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</si>
  <si>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</si>
  <si>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</si>
  <si>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</si>
  <si>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</si>
  <si>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</si>
  <si>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</si>
  <si>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</si>
  <si>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</si>
  <si>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</si>
  <si>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</si>
  <si>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</si>
  <si>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</si>
  <si>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</si>
  <si>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</si>
  <si>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</si>
  <si>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</si>
  <si>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</si>
  <si>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</si>
  <si>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</si>
  <si>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</si>
  <si>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</si>
  <si>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</si>
  <si>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</si>
  <si>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</si>
  <si>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</si>
  <si>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</si>
  <si>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</si>
  <si>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</si>
  <si>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</si>
  <si>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</si>
  <si>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</si>
  <si>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</si>
  <si>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</si>
  <si>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</si>
  <si>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</si>
  <si>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</si>
  <si>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</si>
  <si>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</si>
  <si>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</si>
  <si>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</si>
  <si>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</si>
  <si>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</si>
  <si>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</si>
  <si>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</si>
  <si>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</si>
  <si>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</si>
  <si>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</si>
  <si>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</si>
  <si>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</si>
  <si>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</si>
  <si>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</si>
  <si>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</si>
  <si>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</si>
  <si>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</si>
  <si>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</si>
  <si>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</si>
  <si>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</si>
  <si>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</si>
  <si>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</si>
  <si>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</si>
  <si>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</si>
  <si>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</si>
  <si>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</si>
  <si>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</si>
  <si>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</si>
  <si>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</si>
  <si>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</si>
  <si>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</si>
  <si>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</si>
  <si>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</si>
  <si>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</si>
  <si>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</si>
  <si>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</si>
  <si>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</si>
  <si>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</si>
  <si>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</si>
  <si>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</si>
  <si>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</si>
  <si>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</si>
  <si>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</si>
  <si>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</si>
  <si>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</si>
  <si>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</si>
  <si>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</si>
  <si>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</si>
  <si>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</si>
  <si>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</si>
  <si>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</si>
  <si>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</si>
  <si>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</si>
  <si>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</si>
  <si>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</si>
  <si>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</si>
  <si>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</si>
  <si>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</si>
  <si>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</si>
  <si>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</si>
  <si>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</si>
  <si>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</si>
  <si>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</si>
  <si>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</si>
  <si>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</si>
  <si>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</si>
  <si>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</si>
  <si>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</si>
  <si>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</si>
  <si>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</si>
  <si>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</si>
  <si>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</si>
  <si>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</si>
  <si>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</si>
  <si>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</si>
  <si>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</si>
  <si>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</si>
  <si>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</si>
  <si>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</si>
  <si>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</si>
  <si>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</si>
  <si>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</si>
  <si>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</si>
  <si>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</si>
  <si>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</si>
  <si>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</si>
  <si>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</si>
  <si>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</si>
  <si>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</si>
  <si>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</si>
  <si>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</si>
  <si>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</si>
  <si>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</si>
  <si>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</si>
  <si>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</si>
  <si>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</si>
  <si>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</si>
  <si>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</si>
  <si>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</si>
  <si>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</si>
  <si>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</si>
  <si>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</si>
  <si>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</si>
  <si>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</si>
  <si>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</si>
  <si>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</si>
  <si>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</si>
  <si>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</si>
  <si>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</si>
  <si>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</si>
  <si>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</si>
  <si>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</si>
  <si>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</si>
  <si>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</si>
  <si>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</si>
  <si>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</si>
  <si>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</si>
  <si>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</si>
  <si>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</si>
  <si>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</si>
  <si>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</si>
  <si>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</si>
  <si>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</si>
  <si>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</si>
  <si>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</si>
  <si>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</si>
  <si>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</si>
  <si>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</si>
  <si>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</si>
  <si>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</si>
  <si>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</si>
  <si>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</si>
  <si>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</si>
  <si>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</si>
  <si>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</si>
  <si>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</si>
  <si>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</si>
  <si>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</si>
  <si>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</si>
  <si>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</si>
  <si>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</si>
  <si>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</si>
  <si>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</si>
  <si>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</si>
  <si>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</si>
  <si>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</si>
  <si>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</si>
  <si>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</si>
  <si>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</si>
  <si>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</si>
  <si>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</si>
  <si>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</si>
  <si>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</si>
  <si>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</si>
  <si>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</si>
  <si>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</si>
  <si>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</si>
  <si>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</si>
  <si>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</si>
  <si>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</si>
  <si>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</si>
  <si>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</si>
  <si>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</si>
  <si>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</si>
  <si>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</si>
  <si>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</si>
  <si>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</si>
  <si>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</si>
  <si>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</si>
  <si>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</si>
  <si>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</si>
  <si>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</si>
  <si>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</si>
  <si>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</si>
  <si>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</si>
  <si>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</si>
  <si>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</si>
  <si>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</si>
  <si>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</si>
  <si>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</si>
  <si>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</si>
  <si>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</si>
  <si>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</si>
  <si>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</si>
  <si>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</si>
  <si>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</si>
  <si>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</si>
  <si>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</si>
  <si>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</si>
  <si>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</si>
  <si>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</si>
  <si>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</si>
  <si>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</si>
  <si>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</si>
  <si>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</si>
  <si>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</si>
  <si>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</si>
  <si>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</si>
  <si>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</si>
  <si>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</si>
  <si>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</si>
  <si>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</si>
  <si>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</si>
  <si>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</si>
  <si>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</si>
  <si>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</si>
  <si>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</si>
  <si>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</si>
  <si>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</si>
  <si>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</si>
  <si>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</si>
  <si>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</si>
  <si>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</si>
  <si>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</si>
  <si>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</si>
  <si>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</si>
  <si>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</si>
  <si>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</si>
  <si>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</si>
  <si>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</si>
  <si>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</si>
  <si>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</si>
  <si>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</si>
  <si>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</si>
  <si>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</si>
  <si>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</si>
  <si>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</si>
  <si>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</si>
  <si>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</si>
  <si>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</si>
  <si>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</si>
  <si>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</si>
  <si>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</si>
  <si>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</si>
  <si>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</si>
  <si>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</si>
  <si>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</si>
  <si>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</si>
  <si>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</si>
  <si>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</si>
  <si>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</si>
  <si>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</si>
  <si>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</si>
  <si>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</si>
  <si>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</si>
  <si>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</si>
  <si>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</si>
  <si>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</si>
  <si>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</si>
  <si>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</si>
  <si>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</si>
  <si>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</si>
  <si>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</si>
  <si>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</si>
  <si>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</si>
  <si>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</si>
  <si>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</si>
  <si>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</si>
  <si>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</si>
  <si>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</si>
  <si>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</si>
  <si>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</si>
  <si>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</si>
  <si>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</si>
  <si>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</si>
  <si>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</si>
  <si>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</si>
  <si>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</si>
  <si>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</si>
  <si>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</si>
  <si>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</si>
  <si>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</si>
  <si>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</si>
  <si>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</si>
  <si>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</si>
  <si>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</si>
  <si>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</si>
  <si>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</si>
  <si>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</si>
  <si>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</si>
  <si>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</si>
  <si>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</si>
  <si>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</si>
  <si>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</si>
  <si>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</si>
  <si>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</si>
  <si>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</si>
  <si>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</si>
  <si>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</si>
  <si>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</si>
  <si>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</si>
  <si>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</si>
  <si>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</si>
  <si>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</si>
  <si>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</si>
  <si>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</si>
  <si>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</si>
  <si>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</si>
  <si>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</si>
  <si>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</si>
  <si>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</si>
  <si>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</si>
  <si>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</si>
  <si>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</si>
  <si>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</si>
  <si>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</si>
  <si>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</si>
  <si>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</si>
  <si>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</si>
  <si>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</si>
  <si>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</si>
  <si>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</si>
  <si>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</si>
  <si>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</si>
  <si>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</si>
  <si>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</si>
  <si>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</si>
  <si>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</si>
  <si>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</si>
  <si>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</si>
  <si>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</si>
  <si>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</si>
  <si>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</si>
  <si>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</si>
  <si>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</si>
  <si>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</si>
  <si>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</si>
  <si>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</si>
  <si>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</si>
  <si>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</si>
  <si>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</si>
  <si>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</si>
  <si>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</si>
  <si>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</si>
  <si>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</si>
  <si>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</si>
  <si>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</si>
  <si>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</si>
  <si>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</si>
  <si>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</si>
  <si>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</si>
  <si>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</si>
  <si>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</si>
  <si>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</si>
  <si>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</si>
  <si>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</si>
  <si>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</si>
  <si>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</si>
  <si>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</si>
  <si>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</si>
  <si>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</si>
  <si>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</si>
  <si>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</si>
  <si>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</si>
  <si>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</si>
  <si>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</si>
  <si>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</si>
  <si>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</si>
  <si>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</si>
  <si>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</si>
  <si>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</si>
  <si>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</si>
  <si>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</si>
  <si>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</si>
  <si>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</si>
  <si>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</si>
  <si>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</si>
  <si>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</si>
  <si>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</si>
  <si>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</si>
  <si>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</si>
  <si>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</si>
  <si>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</si>
  <si>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</si>
  <si>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</si>
  <si>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</si>
  <si>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</si>
  <si>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</si>
  <si>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</si>
  <si>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</si>
  <si>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</si>
  <si>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</si>
  <si>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</si>
  <si>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</si>
  <si>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</si>
  <si>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</si>
  <si>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</si>
  <si>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</si>
  <si>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</si>
  <si>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</si>
  <si>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</si>
  <si>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</si>
  <si>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</si>
  <si>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</si>
  <si>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</si>
  <si>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</si>
  <si>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</si>
  <si>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</si>
  <si>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</si>
  <si>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</si>
  <si>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</si>
  <si>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</si>
  <si>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</si>
  <si>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</si>
  <si>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</si>
  <si>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</si>
  <si>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</si>
  <si>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</si>
  <si>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</si>
  <si>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</si>
  <si>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</si>
  <si>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</si>
  <si>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</si>
  <si>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</si>
  <si>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</si>
  <si>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</si>
  <si>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</si>
  <si>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</si>
  <si>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</si>
  <si>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</si>
  <si>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</si>
  <si>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</si>
  <si>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</si>
  <si>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</si>
  <si>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</si>
  <si>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</si>
  <si>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</si>
  <si>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</si>
  <si>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</si>
  <si>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</si>
  <si>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</si>
  <si>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</si>
  <si>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</si>
  <si>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</si>
  <si>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</si>
  <si>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</si>
  <si>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</si>
  <si>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</si>
  <si>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</si>
  <si>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</si>
  <si>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</si>
  <si>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</si>
  <si>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</si>
  <si>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</si>
  <si>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</si>
  <si>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</si>
  <si>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</si>
  <si>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</si>
  <si>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</si>
  <si>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</si>
  <si>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</si>
  <si>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</si>
  <si>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</si>
  <si>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</si>
  <si>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</si>
  <si>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</si>
  <si>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</si>
  <si>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</si>
  <si>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</si>
  <si>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</si>
  <si>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</si>
  <si>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</si>
  <si>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</si>
  <si>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</si>
  <si>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</si>
  <si>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</si>
  <si>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</si>
  <si>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</si>
  <si>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</si>
  <si>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</si>
  <si>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</si>
  <si>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</si>
  <si>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</si>
  <si>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</si>
  <si>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</si>
  <si>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</si>
  <si>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</si>
  <si>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</si>
  <si>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</si>
  <si>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</si>
  <si>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</si>
  <si>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</si>
  <si>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</si>
  <si>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</si>
  <si>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</si>
  <si>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</si>
  <si>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</si>
  <si>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</si>
  <si>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</si>
  <si>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</si>
  <si>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</si>
  <si>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</si>
  <si>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</si>
  <si>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</si>
  <si>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</si>
  <si>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</si>
  <si>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</si>
  <si>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</si>
  <si>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</si>
  <si>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</si>
  <si>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</si>
  <si>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</si>
  <si>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</si>
  <si>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</si>
  <si>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</si>
  <si>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</si>
  <si>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</si>
  <si>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</si>
  <si>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</si>
  <si>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</si>
  <si>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</si>
  <si>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</si>
  <si>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</si>
  <si>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</si>
  <si>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</si>
  <si>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</si>
  <si>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</si>
  <si>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</si>
  <si>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</si>
  <si>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</si>
  <si>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</si>
  <si>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</si>
  <si>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</si>
  <si>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</si>
  <si>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</si>
  <si>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</si>
  <si>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</si>
  <si>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</si>
  <si>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</si>
  <si>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</si>
  <si>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</si>
  <si>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</si>
  <si>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</si>
  <si>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</si>
  <si>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</si>
  <si>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</si>
  <si>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</si>
  <si>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</si>
  <si>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</si>
  <si>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</si>
  <si>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</si>
  <si>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</si>
  <si>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</si>
  <si>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</si>
  <si>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</si>
  <si>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</si>
  <si>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</si>
  <si>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</si>
  <si>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</si>
  <si>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</si>
  <si>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</si>
  <si>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</si>
  <si>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</si>
  <si>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</si>
  <si>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</si>
  <si>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</si>
  <si>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</si>
  <si>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</si>
  <si>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</si>
  <si>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</si>
  <si>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</si>
  <si>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</si>
  <si>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</si>
  <si>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</si>
  <si>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</si>
  <si>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</si>
  <si>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</si>
  <si>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</si>
  <si>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</si>
  <si>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</si>
  <si>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</si>
  <si>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</si>
  <si>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</si>
  <si>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</si>
  <si>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</si>
  <si>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</si>
  <si>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</si>
  <si>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</si>
  <si>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</si>
  <si>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</si>
  <si>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</si>
  <si>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</si>
  <si>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</si>
  <si>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</si>
  <si>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</si>
  <si>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</si>
  <si>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</si>
  <si>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</si>
  <si>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</si>
  <si>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</si>
  <si>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</si>
  <si>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</si>
  <si>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</si>
  <si>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</si>
  <si>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</si>
  <si>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</si>
  <si>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</si>
  <si>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</si>
  <si>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</si>
  <si>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</si>
  <si>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</si>
  <si>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</si>
  <si>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</si>
  <si>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</si>
  <si>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</si>
  <si>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</si>
  <si>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</si>
  <si>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</si>
  <si>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</si>
  <si>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</si>
  <si>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</si>
  <si>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</si>
  <si>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</si>
  <si>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</si>
  <si>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</si>
  <si>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</si>
  <si>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</si>
  <si>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</si>
  <si>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</si>
  <si>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</si>
  <si>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</si>
  <si>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</si>
  <si>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</si>
  <si>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</si>
  <si>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</si>
  <si>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</si>
  <si>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</si>
  <si>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</si>
  <si>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</si>
  <si>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</si>
  <si>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</si>
  <si>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</si>
  <si>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</si>
  <si>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</si>
  <si>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</si>
  <si>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</si>
  <si>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</si>
  <si>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</si>
  <si>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</si>
  <si>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</si>
  <si>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</si>
  <si>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</si>
  <si>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</si>
  <si>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</si>
  <si>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</si>
  <si>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</si>
  <si>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</si>
  <si>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</si>
  <si>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</si>
  <si>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</si>
  <si>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</si>
  <si>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</si>
  <si>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</si>
  <si>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</si>
  <si>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</si>
  <si>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</si>
  <si>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</si>
  <si>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</si>
  <si>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</si>
  <si>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</si>
  <si>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</si>
  <si>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</si>
  <si>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</si>
  <si>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</si>
  <si>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</si>
  <si>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</si>
  <si>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</si>
  <si>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</si>
  <si>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</si>
  <si>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</si>
  <si>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</si>
  <si>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</si>
  <si>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</si>
  <si>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</si>
  <si>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</si>
  <si>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</si>
  <si>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</si>
  <si>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</si>
  <si>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</si>
  <si>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</si>
  <si>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</si>
  <si>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</si>
  <si>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</si>
  <si>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</si>
  <si>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</si>
  <si>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</si>
  <si>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</si>
  <si>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</si>
  <si>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</si>
  <si>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</si>
  <si>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</si>
  <si>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</si>
  <si>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</si>
  <si>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</si>
  <si>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</si>
  <si>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</si>
  <si>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</si>
  <si>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</si>
  <si>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</si>
  <si>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</si>
  <si>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</si>
  <si>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</si>
  <si>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</si>
  <si>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</si>
  <si>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</si>
  <si>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</si>
  <si>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</si>
  <si>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</si>
  <si>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</si>
  <si>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</si>
  <si>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</si>
  <si>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</si>
  <si>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</si>
  <si>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</si>
  <si>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</si>
  <si>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</si>
  <si>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</si>
  <si>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</si>
  <si>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</si>
  <si>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</si>
  <si>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</si>
  <si>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</si>
  <si>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</si>
  <si>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</si>
  <si>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</si>
  <si>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</si>
  <si>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</si>
  <si>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</si>
  <si>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</si>
  <si>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</si>
  <si>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</si>
  <si>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</si>
  <si>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</si>
  <si>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</si>
  <si>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</si>
  <si>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</si>
  <si>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</si>
  <si>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</si>
  <si>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</si>
  <si>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</si>
  <si>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</si>
  <si>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</si>
  <si>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</si>
  <si>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</si>
  <si>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</si>
  <si>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</si>
  <si>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</si>
  <si>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</si>
  <si>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</si>
  <si>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</si>
  <si>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</si>
  <si>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</si>
  <si>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</si>
  <si>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</si>
  <si>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</si>
  <si>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</si>
  <si>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</si>
  <si>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</si>
  <si>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</si>
  <si>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</si>
  <si>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</si>
  <si>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</si>
  <si>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</si>
  <si>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</si>
  <si>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</si>
  <si>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</si>
  <si>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</si>
  <si>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</si>
  <si>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</si>
  <si>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</si>
  <si>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</si>
  <si>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</si>
  <si>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</si>
  <si>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</si>
  <si>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</si>
  <si>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</si>
  <si>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</si>
  <si>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</si>
  <si>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</si>
  <si>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</si>
  <si>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</si>
  <si>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</si>
  <si>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</si>
  <si>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</si>
  <si>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</si>
  <si>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</si>
  <si>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</si>
  <si>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</si>
  <si>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</si>
  <si>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</si>
  <si>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</si>
  <si>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</si>
  <si>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</si>
  <si>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</si>
  <si>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</si>
  <si>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</si>
  <si>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</si>
  <si>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</si>
  <si>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</si>
  <si>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</si>
  <si>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</si>
  <si>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</si>
  <si>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</si>
  <si>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</si>
  <si>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</si>
  <si>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</si>
  <si>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</si>
  <si>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</si>
  <si>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</si>
  <si>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</si>
  <si>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</si>
  <si>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</si>
  <si>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</si>
  <si>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</si>
  <si>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</si>
  <si>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</si>
  <si>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</si>
  <si>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</si>
  <si>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</si>
  <si>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</si>
  <si>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</si>
  <si>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</si>
  <si>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</si>
  <si>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</si>
  <si>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</si>
  <si>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</si>
  <si>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</si>
  <si>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</si>
  <si>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</si>
  <si>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</si>
  <si>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</si>
  <si>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</si>
  <si>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</si>
  <si>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</si>
  <si>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</si>
  <si>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</si>
  <si>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</si>
  <si>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</si>
  <si>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</si>
  <si>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</si>
  <si>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</si>
  <si>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</si>
  <si>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</si>
  <si>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</si>
  <si>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</si>
  <si>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</si>
  <si>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</si>
  <si>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</si>
  <si>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</si>
  <si>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</si>
  <si>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</si>
  <si>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</si>
  <si>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</si>
  <si>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</si>
  <si>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</si>
  <si>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</si>
  <si>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</si>
  <si>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</si>
  <si>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</si>
  <si>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</si>
  <si>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</si>
  <si>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</si>
  <si>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</si>
  <si>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</si>
  <si>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</si>
  <si>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</si>
  <si>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</si>
  <si>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</si>
  <si>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</si>
  <si>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</si>
  <si>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</si>
  <si>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</si>
  <si>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</si>
  <si>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</si>
  <si>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</si>
  <si>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</si>
  <si>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</si>
  <si>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</si>
  <si>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</si>
  <si>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</si>
  <si>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</si>
  <si>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</si>
  <si>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</si>
  <si>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</si>
  <si>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</si>
  <si>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</si>
  <si>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</si>
  <si>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</si>
  <si>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</si>
  <si>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</si>
  <si>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</si>
  <si>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</si>
  <si>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</si>
  <si>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</si>
  <si>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</si>
  <si>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</si>
  <si>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</si>
  <si>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</si>
  <si>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</si>
  <si>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</si>
  <si>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</si>
  <si>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</si>
  <si>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</si>
  <si>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</si>
  <si>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</si>
  <si>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</si>
  <si>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</si>
  <si>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</si>
  <si>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</si>
  <si>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</si>
  <si>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</si>
  <si>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</si>
  <si>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</si>
  <si>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</si>
  <si>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</si>
  <si>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</si>
  <si>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</si>
  <si>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</si>
  <si>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</si>
  <si>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</si>
  <si>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</si>
  <si>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</si>
  <si>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</si>
  <si>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</si>
  <si>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</si>
  <si>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</si>
  <si>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</si>
  <si>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</si>
  <si>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</si>
  <si>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</si>
  <si>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</si>
  <si>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</si>
  <si>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</si>
  <si>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</si>
  <si>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</si>
  <si>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</si>
  <si>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</si>
  <si>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</si>
  <si>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</si>
  <si>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</si>
  <si>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</si>
  <si>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</si>
  <si>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</si>
  <si>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</si>
  <si>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</si>
  <si>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</si>
  <si>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</si>
  <si>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</si>
  <si>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</si>
  <si>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</si>
  <si>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</si>
  <si>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</si>
  <si>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</si>
  <si>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</si>
  <si>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</si>
  <si>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</si>
  <si>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</si>
  <si>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</si>
  <si>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</si>
  <si>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</si>
  <si>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</si>
  <si>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</si>
  <si>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</si>
  <si>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</si>
  <si>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</si>
  <si>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</si>
  <si>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</si>
  <si>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</si>
  <si>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</si>
  <si>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</si>
  <si>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</si>
  <si>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</si>
  <si>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</si>
  <si>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</si>
  <si>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</si>
  <si>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</si>
  <si>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</si>
  <si>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</si>
  <si>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</si>
  <si>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</si>
  <si>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</si>
  <si>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</si>
  <si>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</si>
  <si>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</si>
  <si>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</si>
  <si>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</si>
  <si>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</si>
  <si>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</si>
  <si>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</si>
  <si>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</si>
  <si>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</si>
  <si>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</si>
  <si>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</si>
  <si>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</si>
  <si>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</si>
  <si>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</si>
  <si>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</si>
  <si>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</si>
  <si>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</si>
  <si>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</si>
  <si>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</si>
  <si>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</si>
  <si>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</si>
  <si>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</si>
  <si>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</si>
  <si>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</si>
  <si>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</si>
  <si>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</si>
  <si>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</si>
  <si>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</si>
  <si>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</si>
  <si>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</si>
  <si>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</si>
  <si>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</si>
  <si>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</si>
  <si>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</si>
  <si>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</si>
  <si>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</si>
  <si>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</si>
  <si>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</si>
  <si>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</si>
  <si>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</si>
  <si>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</si>
  <si>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</si>
  <si>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</si>
  <si>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</si>
  <si>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</si>
  <si>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</si>
  <si>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</si>
  <si>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</si>
  <si>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</si>
  <si>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</si>
  <si>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</si>
  <si>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</si>
  <si>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</si>
  <si>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</si>
  <si>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</si>
  <si>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</si>
  <si>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</si>
  <si>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</si>
  <si>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</si>
  <si>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</si>
  <si>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</si>
  <si>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</si>
  <si>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</si>
  <si>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</si>
  <si>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</si>
  <si>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</si>
  <si>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</si>
  <si>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</si>
  <si>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</si>
  <si>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</si>
  <si>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</si>
  <si>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</si>
  <si>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</si>
  <si>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</si>
  <si>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</si>
  <si>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</si>
  <si>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</si>
  <si>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</si>
  <si>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</si>
  <si>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</si>
  <si>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</si>
  <si>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</si>
  <si>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</si>
  <si>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</si>
  <si>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</si>
  <si>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</si>
  <si>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</si>
  <si>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</si>
  <si>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</si>
  <si>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</si>
  <si>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</si>
  <si>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</si>
  <si>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Alzon</t>
  </si>
  <si>
    <t xml:space="preserve">Saint Maximin</t>
  </si>
  <si>
    <t xml:space="preserve">06129950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</si>
  <si>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</si>
  <si>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</si>
  <si>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</si>
  <si>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</si>
  <si>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</si>
  <si>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</si>
  <si>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</si>
  <si>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</si>
  <si>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</si>
  <si>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</si>
  <si>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</si>
  <si>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</si>
  <si>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</si>
  <si>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</si>
  <si>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</si>
  <si>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</si>
  <si>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</si>
  <si>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</si>
  <si>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</si>
  <si>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</si>
  <si>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</si>
  <si>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</si>
  <si>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</si>
  <si>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</si>
  <si>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</si>
  <si>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</si>
  <si>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</si>
  <si>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</si>
  <si>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</si>
  <si>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</si>
  <si>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</si>
  <si>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</si>
  <si>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</si>
  <si>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</si>
  <si>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</si>
  <si>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</si>
  <si>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</si>
  <si>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</si>
  <si>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</si>
  <si>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</si>
  <si>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</si>
  <si>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</si>
  <si>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</si>
  <si>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</si>
  <si>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</si>
  <si>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</si>
  <si>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</si>
  <si>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</si>
  <si>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</si>
  <si>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</si>
  <si>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(7,3137 %)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</si>
  <si>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</si>
  <si>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</si>
  <si>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</si>
  <si>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</si>
  <si>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</si>
  <si>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</si>
  <si>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</si>
  <si>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</si>
  <si>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</si>
  <si>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</si>
  <si>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</si>
  <si>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</si>
  <si>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</si>
  <si>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</si>
  <si>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</si>
  <si>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</si>
  <si>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</si>
  <si>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</si>
  <si>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</si>
  <si>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</si>
  <si>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Hypericum tetrapterum</t>
  </si>
  <si>
    <t xml:space="preserve">Gleitlerinema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</si>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</sst>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9.52</v>
      </c>
      <c r="M5" s="323"/>
      <c r="N5" s="324" t="s">
        <v>1984</v>
      </c>
      <c r="O5" s="325" t="n">
        <v>9.39130434782609</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16</v>
      </c>
      <c r="C7" s="337" t="n">
        <v>84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7.61904761904762</v>
      </c>
      <c r="O8" s="354" t="n">
        <f aca="false">IF(ISERROR(AVERAGE(J23:J82)),"      -",AVERAGE(J23:J82))</f>
        <v>0.952380952380952</v>
      </c>
      <c r="P8" s="355"/>
      <c r="Q8" s="280"/>
      <c r="R8" s="280"/>
      <c r="S8" s="280"/>
      <c r="T8" s="280"/>
      <c r="U8" s="280"/>
      <c r="V8" s="280"/>
      <c r="W8" s="292"/>
      <c r="X8" s="293"/>
    </row>
    <row r="9" customFormat="false" ht="13.5" hidden="false" customHeight="false" outlineLevel="0" collapsed="false">
      <c r="A9" s="313" t="s">
        <v>2635</v>
      </c>
      <c r="B9" s="356" t="n">
        <v>40.16</v>
      </c>
      <c r="C9" s="357" t="n">
        <v>1.07</v>
      </c>
      <c r="D9" s="358"/>
      <c r="E9" s="358"/>
      <c r="F9" s="359" t="n">
        <f aca="false">($B9*$B$7+$C9*$C$7)/100</f>
        <v>7.3244</v>
      </c>
      <c r="G9" s="360"/>
      <c r="H9" s="361"/>
      <c r="I9" s="362"/>
      <c r="J9" s="363"/>
      <c r="K9" s="343"/>
      <c r="L9" s="364"/>
      <c r="M9" s="353" t="s">
        <v>2636</v>
      </c>
      <c r="N9" s="354" t="n">
        <f aca="false">IF(ISERROR(STDEVP(I23:I82)),"     -",STDEVP(I23:I82))</f>
        <v>4.68509480999956</v>
      </c>
      <c r="O9" s="354" t="n">
        <f aca="false">IF(ISERROR(STDEVP(J23:J82)),"      -",STDEVP(J23:J82))</f>
        <v>0.65291948575248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2</v>
      </c>
      <c r="L13" s="386"/>
      <c r="M13" s="397" t="s">
        <v>2648</v>
      </c>
      <c r="N13" s="398" t="n">
        <f aca="false">COUNTIF(F23:F82,"&gt;0")</f>
        <v>23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21</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12</v>
      </c>
      <c r="L15" s="386"/>
      <c r="M15" s="407" t="s">
        <v>2654</v>
      </c>
      <c r="N15" s="408" t="n">
        <f aca="false">COUNTIF(J23:J82,"=1")</f>
        <v>12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40.16</v>
      </c>
      <c r="C20" s="436" t="n">
        <f aca="false">SUM(C23:C82)</f>
        <v>1.07</v>
      </c>
      <c r="D20" s="437"/>
      <c r="E20" s="438" t="s">
        <v>2660</v>
      </c>
      <c r="F20" s="439" t="n">
        <f aca="false">($B20*$B$7+$C20*$C$7)/100</f>
        <v>7.3244</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6.4256</v>
      </c>
      <c r="C21" s="449" t="n">
        <f aca="false">C20*C7/100</f>
        <v>0.8988</v>
      </c>
      <c r="D21" s="381" t="str">
        <f aca="false">IF(F21=0,"",IF((ABS(F21-F19))&gt;(0.2*F21),CONCATENATE(" rec. par taxa (",F21," %) supérieur à 20 % !"),""))</f>
        <v> rec. par taxa (7,3244 %) supérieur à 20 % !</v>
      </c>
      <c r="E21" s="450" t="str">
        <f aca="false">IF(F21=0,"",IF((ABS(F21-F19))&gt;(0.2*F21),CONCATENATE("ATTENTION : écart entre rec. par grp (",F19," %) ","et",""),""))</f>
        <v>ATTENTION : écart entre rec. par grp (0 %) et</v>
      </c>
      <c r="F21" s="451" t="n">
        <f aca="false">B21+C21</f>
        <v>7.3244</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113</v>
      </c>
      <c r="B23" s="475"/>
      <c r="C23" s="476" t="n">
        <v>0.005</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0.0042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0.0042</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2.75" hidden="false" customHeight="false" outlineLevel="0" collapsed="false">
      <c r="A24" s="493" t="s">
        <v>122</v>
      </c>
      <c r="B24" s="494" t="n">
        <v>0.5</v>
      </c>
      <c r="C24" s="495" t="n">
        <v>0.2</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0.248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0.248</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175</v>
      </c>
      <c r="B25" s="494" t="n">
        <v>0.4</v>
      </c>
      <c r="C25" s="495"/>
      <c r="D25" s="477" t="str">
        <f aca="false">IF(ISERROR(VLOOKUP($A25,'liste reference'!$A$7:$D$904,2,0)),IF(ISERROR(VLOOKUP($A25,'liste reference'!$B$7:$D$904,1,0)),"",VLOOKUP($A25,'liste reference'!$B$7:$D$904,1,0)),VLOOKUP($A25,'liste reference'!$A$7:$D$904,2,0))</f>
        <v>Microspora sp.</v>
      </c>
      <c r="E25" s="496" t="e">
        <f aca="false">IF(D25="",0,VLOOKUP(D25,D$22:D24,1,0))</f>
        <v>#N/A</v>
      </c>
      <c r="F25" s="497" t="n">
        <f aca="false">($B25*$B$7+$C25*$C$7)/100</f>
        <v>0.064</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Microspora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1132</v>
      </c>
      <c r="Q25" s="486" t="n">
        <f aca="false">IF(ISTEXT(H25),"",(B25*$B$7/100)+(C25*$C$7/100))</f>
        <v>0.064</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MICSPX</v>
      </c>
      <c r="Z25" s="280" t="n">
        <f aca="false">IF(ISERROR(MATCH(A25,'liste reference'!$A$8:$A$904,0)),IF(ISERROR(MATCH(A25,'liste reference'!$B$8:$B$904,0)),"",(MATCH(A25,'liste reference'!$B$8:$B$904,0))),(MATCH(A25,'liste reference'!$A$8:$A$904,0)))</f>
        <v>41</v>
      </c>
      <c r="AA25" s="491"/>
      <c r="AB25" s="492"/>
      <c r="AC25" s="492"/>
      <c r="BB25" s="280" t="n">
        <f aca="false">IF(A25="","",1)</f>
        <v>1</v>
      </c>
    </row>
    <row r="26" customFormat="false" ht="12.75" hidden="false" customHeight="false" outlineLevel="0" collapsed="false">
      <c r="A26" s="493" t="s">
        <v>258</v>
      </c>
      <c r="B26" s="494" t="n">
        <v>0.05</v>
      </c>
      <c r="C26" s="495"/>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0.008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0.008</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2.75" hidden="false" customHeight="false" outlineLevel="0" collapsed="false">
      <c r="A27" s="493" t="s">
        <v>295</v>
      </c>
      <c r="B27" s="494" t="n">
        <v>0.1</v>
      </c>
      <c r="C27" s="495"/>
      <c r="D27" s="477" t="str">
        <f aca="false">IF(ISERROR(VLOOKUP($A27,'liste reference'!$A$7:$D$904,2,0)),IF(ISERROR(VLOOKUP($A27,'liste reference'!$B$7:$D$904,1,0)),"",VLOOKUP($A27,'liste reference'!$B$7:$D$904,1,0)),VLOOKUP($A27,'liste reference'!$A$7:$D$904,2,0))</f>
        <v>Tribonema sp.</v>
      </c>
      <c r="E27" s="496" t="e">
        <f aca="false">IF(D27="",0,VLOOKUP(D27,D$22:D26,1,0))</f>
        <v>#N/A</v>
      </c>
      <c r="F27" s="497" t="n">
        <f aca="false">($B27*$B$7+$C27*$C$7)/100</f>
        <v>0.016</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Tribonema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1167</v>
      </c>
      <c r="Q27" s="486" t="n">
        <f aca="false">IF(ISTEXT(H27),"",(B27*$B$7/100)+(C27*$C$7/100))</f>
        <v>0.016</v>
      </c>
      <c r="R27" s="487" t="n">
        <f aca="false">IF(OR(ISTEXT(H27),Q27=0),"",IF(Q27&lt;0.1,1,IF(Q27&lt;1,2,IF(Q27&lt;10,3,IF(Q27&lt;50,4,IF(Q27&gt;=50,5,""))))))</f>
        <v>1</v>
      </c>
      <c r="S27" s="487" t="n">
        <f aca="false">IF(ISERROR(R27*I27),0,R27*I27)</f>
        <v>11</v>
      </c>
      <c r="T27" s="487" t="n">
        <f aca="false">IF(ISERROR(R27*I27*J27),0,R27*I27*J27)</f>
        <v>22</v>
      </c>
      <c r="U27" s="499" t="n">
        <f aca="false">IF(ISERROR(R27*J27),0,R27*J27)</f>
        <v>2</v>
      </c>
      <c r="V27" s="488" t="str">
        <f aca="false">IF(AND(A27="",F27=0),"",IF(F27=0,"Il manque le(s) % de rec. !",""))</f>
        <v/>
      </c>
      <c r="W27" s="489"/>
      <c r="Y27" s="490" t="str">
        <f aca="false">IF(A27="new.cod","NEWCOD",IF(AND((Z27=""),ISTEXT(A27)),A27,IF(Z27="","",INDEX('liste reference'!$A$8:$A$904,Z27))))</f>
        <v>TRISPX</v>
      </c>
      <c r="Z27" s="280" t="n">
        <f aca="false">IF(ISERROR(MATCH(A27,'liste reference'!$A$8:$A$904,0)),IF(ISERROR(MATCH(A27,'liste reference'!$B$8:$B$904,0)),"",(MATCH(A27,'liste reference'!$B$8:$B$904,0))),(MATCH(A27,'liste reference'!$A$8:$A$904,0)))</f>
        <v>80</v>
      </c>
      <c r="AA27" s="491"/>
      <c r="AB27" s="492"/>
      <c r="AC27" s="492"/>
      <c r="BB27" s="280" t="n">
        <f aca="false">IF(A27="","",1)</f>
        <v>1</v>
      </c>
    </row>
    <row r="28" customFormat="false" ht="12.75" hidden="false" customHeight="false" outlineLevel="0" collapsed="false">
      <c r="A28" s="493" t="s">
        <v>298</v>
      </c>
      <c r="B28" s="494"/>
      <c r="C28" s="495" t="n">
        <v>0.005</v>
      </c>
      <c r="D28" s="477" t="str">
        <f aca="false">IF(ISERROR(VLOOKUP($A28,'liste reference'!$A$7:$D$904,2,0)),IF(ISERROR(VLOOKUP($A28,'liste reference'!$B$7:$D$904,1,0)),"",VLOOKUP($A28,'liste reference'!$B$7:$D$904,1,0)),VLOOKUP($A28,'liste reference'!$A$7:$D$904,2,0))</f>
        <v>Ulothrix sp.</v>
      </c>
      <c r="E28" s="496" t="e">
        <f aca="false">IF(D28="",0,VLOOKUP(D28,D$22:D27,1,0))</f>
        <v>#N/A</v>
      </c>
      <c r="F28" s="497" t="n">
        <f aca="false">($B28*$B$7+$C28*$C$7)/100</f>
        <v>0.0042</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Ulothrix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1142</v>
      </c>
      <c r="Q28" s="486" t="n">
        <f aca="false">IF(ISTEXT(H28),"",(B28*$B$7/100)+(C28*$C$7/100))</f>
        <v>0.0042</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X28" s="489"/>
      <c r="Y28" s="490" t="str">
        <f aca="false">IF(A28="new.cod","NEWCOD",IF(AND((Z28=""),ISTEXT(A28)),A28,IF(Z28="","",INDEX('liste reference'!$A$8:$A$904,Z28))))</f>
        <v>ULOSPX</v>
      </c>
      <c r="Z28" s="280" t="n">
        <f aca="false">IF(ISERROR(MATCH(A28,'liste reference'!$A$8:$A$904,0)),IF(ISERROR(MATCH(A28,'liste reference'!$B$8:$B$904,0)),"",(MATCH(A28,'liste reference'!$B$8:$B$904,0))),(MATCH(A28,'liste reference'!$A$8:$A$904,0)))</f>
        <v>81</v>
      </c>
      <c r="AA28" s="491"/>
      <c r="AB28" s="492"/>
      <c r="AC28" s="492"/>
      <c r="BB28" s="280" t="n">
        <f aca="false">IF(A28="","",1)</f>
        <v>1</v>
      </c>
    </row>
    <row r="29" customFormat="false" ht="12.75" hidden="false" customHeight="false" outlineLevel="0" collapsed="false">
      <c r="A29" s="493" t="s">
        <v>301</v>
      </c>
      <c r="B29" s="494" t="n">
        <v>37</v>
      </c>
      <c r="C29" s="495" t="n">
        <v>0.2</v>
      </c>
      <c r="D29" s="477" t="str">
        <f aca="false">IF(ISERROR(VLOOKUP($A29,'liste reference'!$A$7:$D$904,2,0)),IF(ISERROR(VLOOKUP($A29,'liste reference'!$B$7:$D$904,1,0)),"",VLOOKUP($A29,'liste reference'!$B$7:$D$904,1,0)),VLOOKUP($A29,'liste reference'!$A$7:$D$904,2,0))</f>
        <v>Vaucheria sp.</v>
      </c>
      <c r="E29" s="496" t="e">
        <f aca="false">IF(D29="",0,VLOOKUP(D29,D$22:D28,1,0))</f>
        <v>#N/A</v>
      </c>
      <c r="F29" s="497" t="n">
        <f aca="false">($B29*$B$7+$C29*$C$7)/100</f>
        <v>6.088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6193</v>
      </c>
      <c r="Q29" s="486" t="n">
        <f aca="false">IF(ISTEXT(H29),"",(B29*$B$7/100)+(C29*$C$7/100))</f>
        <v>6.088</v>
      </c>
      <c r="R29" s="487" t="n">
        <f aca="false">IF(OR(ISTEXT(H29),Q29=0),"",IF(Q29&lt;0.1,1,IF(Q29&lt;1,2,IF(Q29&lt;10,3,IF(Q29&lt;50,4,IF(Q29&gt;=50,5,""))))))</f>
        <v>3</v>
      </c>
      <c r="S29" s="487" t="n">
        <f aca="false">IF(ISERROR(R29*I29),0,R29*I29)</f>
        <v>12</v>
      </c>
      <c r="T29" s="487" t="n">
        <f aca="false">IF(ISERROR(R29*I29*J29),0,R29*I29*J29)</f>
        <v>12</v>
      </c>
      <c r="U29" s="499" t="n">
        <f aca="false">IF(ISERROR(R29*J29),0,R29*J29)</f>
        <v>3</v>
      </c>
      <c r="V29" s="488" t="str">
        <f aca="false">IF(AND(A29="",F29=0),"",IF(F29=0,"Il manque le(s) % de rec. !",""))</f>
        <v/>
      </c>
      <c r="W29" s="500"/>
      <c r="Y29" s="490" t="str">
        <f aca="false">IF(A29="new.cod","NEWCOD",IF(AND((Z29=""),ISTEXT(A29)),A29,IF(Z29="","",INDEX('liste reference'!$A$8:$A$904,Z29))))</f>
        <v>VAUSPX</v>
      </c>
      <c r="Z29" s="280" t="n">
        <f aca="false">IF(ISERROR(MATCH(A29,'liste reference'!$A$8:$A$904,0)),IF(ISERROR(MATCH(A29,'liste reference'!$B$8:$B$904,0)),"",(MATCH(A29,'liste reference'!$B$8:$B$904,0))),(MATCH(A29,'liste reference'!$A$8:$A$904,0)))</f>
        <v>82</v>
      </c>
      <c r="AA29" s="491"/>
      <c r="AB29" s="492"/>
      <c r="AC29" s="492"/>
      <c r="BB29" s="280" t="n">
        <f aca="false">IF(A29="","",1)</f>
        <v>1</v>
      </c>
    </row>
    <row r="30" customFormat="false" ht="12.75" hidden="false" customHeight="false" outlineLevel="0" collapsed="false">
      <c r="A30" s="493" t="s">
        <v>512</v>
      </c>
      <c r="B30" s="494" t="n">
        <v>0.005</v>
      </c>
      <c r="C30" s="495"/>
      <c r="D30" s="477" t="str">
        <f aca="false">IF(ISERROR(VLOOKUP($A30,'liste reference'!$A$7:$D$904,2,0)),IF(ISERROR(VLOOKUP($A30,'liste reference'!$B$7:$D$904,1,0)),"",VLOOKUP($A30,'liste reference'!$B$7:$D$904,1,0)),VLOOKUP($A30,'liste reference'!$A$7:$D$904,2,0))</f>
        <v>Pellia endiviifolia</v>
      </c>
      <c r="E30" s="496" t="e">
        <f aca="false">IF(D30="",0,VLOOKUP(D30,D$22:D29,1,0))</f>
        <v>#N/A</v>
      </c>
      <c r="F30" s="497" t="n">
        <f aca="false">($B30*$B$7+$C30*$C$7)/100</f>
        <v>0.0008</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1197</v>
      </c>
      <c r="Q30" s="486" t="n">
        <f aca="false">IF(ISTEXT(H30),"",(B30*$B$7/100)+(C30*$C$7/100))</f>
        <v>0.0008</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PELEND</v>
      </c>
      <c r="Z30" s="280" t="n">
        <f aca="false">IF(ISERROR(MATCH(A30,'liste reference'!$A$8:$A$904,0)),IF(ISERROR(MATCH(A30,'liste reference'!$B$8:$B$904,0)),"",(MATCH(A30,'liste reference'!$B$8:$B$904,0))),(MATCH(A30,'liste reference'!$A$8:$A$904,0)))</f>
        <v>120</v>
      </c>
      <c r="AA30" s="491"/>
      <c r="AB30" s="492"/>
      <c r="AC30" s="492"/>
      <c r="BB30" s="280" t="n">
        <f aca="false">IF(A30="","",1)</f>
        <v>1</v>
      </c>
    </row>
    <row r="31" customFormat="false" ht="12.75" hidden="false" customHeight="false" outlineLevel="0" collapsed="false">
      <c r="A31" s="493" t="s">
        <v>852</v>
      </c>
      <c r="B31" s="494"/>
      <c r="C31" s="495" t="n">
        <v>0.005</v>
      </c>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0.0042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0.0042</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2.75" hidden="false" customHeight="false" outlineLevel="0" collapsed="false">
      <c r="A32" s="493" t="s">
        <v>1224</v>
      </c>
      <c r="B32" s="494"/>
      <c r="C32" s="495" t="n">
        <v>0.005</v>
      </c>
      <c r="D32" s="477" t="str">
        <f aca="false">IF(ISERROR(VLOOKUP($A32,'liste reference'!$A$7:$D$904,2,0)),IF(ISERROR(VLOOKUP($A32,'liste reference'!$B$7:$D$904,1,0)),"",VLOOKUP($A32,'liste reference'!$B$7:$D$904,1,0)),VLOOKUP($A32,'liste reference'!$A$7:$D$904,2,0))</f>
        <v>Apium nodiflorum</v>
      </c>
      <c r="E32" s="496" t="e">
        <f aca="false">IF(D32="",0,VLOOKUP(D32,D$22:D31,1,0))</f>
        <v>#N/A</v>
      </c>
      <c r="F32" s="497" t="n">
        <f aca="false">($B32*$B$7+$C32*$C$7)/100</f>
        <v>0.0042</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1974</v>
      </c>
      <c r="Q32" s="486" t="n">
        <f aca="false">IF(ISTEXT(H32),"",(B32*$B$7/100)+(C32*$C$7/100))</f>
        <v>0.0042</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APINOD</v>
      </c>
      <c r="Z32" s="280" t="n">
        <f aca="false">IF(ISERROR(MATCH(A32,'liste reference'!$A$8:$A$904,0)),IF(ISERROR(MATCH(A32,'liste reference'!$B$8:$B$904,0)),"",(MATCH(A32,'liste reference'!$B$8:$B$904,0))),(MATCH(A32,'liste reference'!$A$8:$A$904,0)))</f>
        <v>309</v>
      </c>
      <c r="AA32" s="491"/>
      <c r="AB32" s="492"/>
      <c r="AC32" s="492"/>
      <c r="BB32" s="280" t="n">
        <f aca="false">IF(A32="","",1)</f>
        <v>1</v>
      </c>
    </row>
    <row r="33" customFormat="false" ht="12.75" hidden="false" customHeight="false" outlineLevel="0" collapsed="false">
      <c r="A33" s="493" t="s">
        <v>1265</v>
      </c>
      <c r="B33" s="494"/>
      <c r="C33" s="495" t="n">
        <v>0.005</v>
      </c>
      <c r="D33" s="477" t="str">
        <f aca="false">IF(ISERROR(VLOOKUP($A33,'liste reference'!$A$7:$D$904,2,0)),IF(ISERROR(VLOOKUP($A33,'liste reference'!$B$7:$D$904,1,0)),"",VLOOKUP($A33,'liste reference'!$B$7:$D$904,1,0)),VLOOKUP($A33,'liste reference'!$A$7:$D$904,2,0))</f>
        <v>Callitriche sp.</v>
      </c>
      <c r="E33" s="496" t="e">
        <f aca="false">IF(D33="",0,VLOOKUP(D33,D$22:D32,1,0))</f>
        <v>#N/A</v>
      </c>
      <c r="F33" s="497" t="n">
        <f aca="false">($B33*$B$7+$C33*$C$7)/100</f>
        <v>0.0042</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Callitriche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1696</v>
      </c>
      <c r="Q33" s="486" t="n">
        <f aca="false">IF(ISTEXT(H33),"",(B33*$B$7/100)+(C33*$C$7/100))</f>
        <v>0.0042</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CALSPX</v>
      </c>
      <c r="Z33" s="280" t="n">
        <f aca="false">IF(ISERROR(MATCH(A33,'liste reference'!$A$8:$A$904,0)),IF(ISERROR(MATCH(A33,'liste reference'!$B$8:$B$904,0)),"",(MATCH(A33,'liste reference'!$B$8:$B$904,0))),(MATCH(A33,'liste reference'!$A$8:$A$904,0)))</f>
        <v>325</v>
      </c>
      <c r="AA33" s="491"/>
      <c r="AB33" s="492"/>
      <c r="AC33" s="492"/>
      <c r="BB33" s="280" t="n">
        <f aca="false">IF(A33="","",1)</f>
        <v>1</v>
      </c>
    </row>
    <row r="34" customFormat="false" ht="12.75" hidden="false" customHeight="false" outlineLevel="0" collapsed="false">
      <c r="A34" s="493" t="s">
        <v>1337</v>
      </c>
      <c r="B34" s="494"/>
      <c r="C34" s="495" t="n">
        <v>0.005</v>
      </c>
      <c r="D34" s="477" t="str">
        <f aca="false">IF(ISERROR(VLOOKUP($A34,'liste reference'!$A$7:$D$904,2,0)),IF(ISERROR(VLOOKUP($A34,'liste reference'!$B$7:$D$904,1,0)),"",VLOOKUP($A34,'liste reference'!$B$7:$D$904,1,0)),VLOOKUP($A34,'liste reference'!$A$7:$D$904,2,0))</f>
        <v>Lemna minor</v>
      </c>
      <c r="E34" s="496" t="e">
        <f aca="false">IF(D34="",0,VLOOKUP(D34,D$22:D33,1,0))</f>
        <v>#N/A</v>
      </c>
      <c r="F34" s="501" t="n">
        <f aca="false">($B34*$B$7+$C34*$C$7)/100</f>
        <v>0.0042</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Lemna minor</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1626</v>
      </c>
      <c r="Q34" s="486" t="n">
        <f aca="false">IF(ISTEXT(H34),"",(B34*$B$7/100)+(C34*$C$7/100))</f>
        <v>0.0042</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LEMMIN</v>
      </c>
      <c r="Z34" s="280" t="n">
        <f aca="false">IF(ISERROR(MATCH(A34,'liste reference'!$A$8:$A$904,0)),IF(ISERROR(MATCH(A34,'liste reference'!$B$8:$B$904,0)),"",(MATCH(A34,'liste reference'!$B$8:$B$904,0))),(MATCH(A34,'liste reference'!$A$8:$A$904,0)))</f>
        <v>357</v>
      </c>
      <c r="AA34" s="491"/>
      <c r="AB34" s="492"/>
      <c r="AC34" s="492"/>
      <c r="BB34" s="280" t="n">
        <f aca="false">IF(A34="","",1)</f>
        <v>1</v>
      </c>
    </row>
    <row r="35" customFormat="false" ht="12.75" hidden="false" customHeight="false" outlineLevel="0" collapsed="false">
      <c r="A35" s="493" t="s">
        <v>1708</v>
      </c>
      <c r="B35" s="494"/>
      <c r="C35" s="495" t="n">
        <v>0.01</v>
      </c>
      <c r="D35" s="477" t="str">
        <f aca="false">IF(ISERROR(VLOOKUP($A35,'liste reference'!$A$7:$D$904,2,0)),IF(ISERROR(VLOOKUP($A35,'liste reference'!$B$7:$D$904,1,0)),"",VLOOKUP($A35,'liste reference'!$B$7:$D$904,1,0)),VLOOKUP($A35,'liste reference'!$A$7:$D$904,2,0))</f>
        <v>Agrostis stolonifera</v>
      </c>
      <c r="E35" s="496" t="e">
        <f aca="false">IF(D35="",0,VLOOKUP(D35,D$22:D34,1,0))</f>
        <v>#N/A</v>
      </c>
      <c r="F35" s="501" t="n">
        <f aca="false">($B35*$B$7+$C35*$C$7)/100</f>
        <v>0.0084</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Agrostis stolonifera</v>
      </c>
      <c r="L35" s="498"/>
      <c r="M35" s="498"/>
      <c r="N35" s="498"/>
      <c r="O35" s="484" t="s">
        <v>2685</v>
      </c>
      <c r="P35" s="485" t="n">
        <f aca="false">IF($A35="NEWCOD",IF($AC35="","No",$AC35),IF(ISTEXT($E35),"DEJA SAISI !",IF($A35="","",IF(ISERROR(VLOOKUP($A35,'liste reference'!A:S,19,FALSE())),IF(ISERROR(VLOOKUP($A35,'liste reference'!B:S,19,FALSE())),"",VLOOKUP($A35,'liste reference'!B:S,19,FALSE())),VLOOKUP($A35,'liste reference'!A:S,19,FALSE())))))</f>
        <v>1543</v>
      </c>
      <c r="Q35" s="486" t="n">
        <f aca="false">IF(ISTEXT(H35),"",(B35*$B$7/100)+(C35*$C$7/100))</f>
        <v>0.0084</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AGRSTO</v>
      </c>
      <c r="Z35" s="280" t="n">
        <f aca="false">IF(ISERROR(MATCH(A35,'liste reference'!$A$8:$A$904,0)),IF(ISERROR(MATCH(A35,'liste reference'!$B$8:$B$904,0)),"",(MATCH(A35,'liste reference'!$B$8:$B$904,0))),(MATCH(A35,'liste reference'!$A$8:$A$904,0)))</f>
        <v>514</v>
      </c>
      <c r="AA35" s="491" t="s">
        <v>2685</v>
      </c>
      <c r="AB35" s="492"/>
      <c r="AC35" s="492"/>
      <c r="BB35" s="280" t="n">
        <f aca="false">IF(A35="","",1)</f>
        <v>1</v>
      </c>
    </row>
    <row r="36" customFormat="false" ht="12.75" hidden="false" customHeight="false" outlineLevel="0" collapsed="false">
      <c r="A36" s="493" t="s">
        <v>1847</v>
      </c>
      <c r="B36" s="494"/>
      <c r="C36" s="495" t="n">
        <v>0.005</v>
      </c>
      <c r="D36" s="477" t="str">
        <f aca="false">IF(ISERROR(VLOOKUP($A36,'liste reference'!$A$7:$D$904,2,0)),IF(ISERROR(VLOOKUP($A36,'liste reference'!$B$7:$D$904,1,0)),"",VLOOKUP($A36,'liste reference'!$B$7:$D$904,1,0)),VLOOKUP($A36,'liste reference'!$A$7:$D$904,2,0))</f>
        <v>Eupatorium cannabinum</v>
      </c>
      <c r="E36" s="496" t="e">
        <f aca="false">IF(D36="",0,VLOOKUP(D36,D$22:D35,1,0))</f>
        <v>#N/A</v>
      </c>
      <c r="F36" s="501" t="n">
        <f aca="false">($B36*$B$7+$C36*$C$7)/100</f>
        <v>0.0042</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Eupatorium cannabinum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1741</v>
      </c>
      <c r="Q36" s="486" t="n">
        <f aca="false">IF(ISTEXT(H36),"",(B36*$B$7/100)+(C36*$C$7/100))</f>
        <v>0.0042</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EUPCAN</v>
      </c>
      <c r="Z36" s="280" t="n">
        <f aca="false">IF(ISERROR(MATCH(A36,'liste reference'!$A$8:$A$904,0)),IF(ISERROR(MATCH(A36,'liste reference'!$B$8:$B$904,0)),"",(MATCH(A36,'liste reference'!$B$8:$B$904,0))),(MATCH(A36,'liste reference'!$A$8:$A$904,0)))</f>
        <v>568</v>
      </c>
      <c r="AA36" s="491"/>
      <c r="AB36" s="492"/>
      <c r="AC36" s="492"/>
      <c r="BB36" s="280" t="n">
        <f aca="false">IF(A36="","",1)</f>
        <v>1</v>
      </c>
    </row>
    <row r="37" customFormat="false" ht="12.75" hidden="false" customHeight="false" outlineLevel="0" collapsed="false">
      <c r="A37" s="493" t="s">
        <v>1913</v>
      </c>
      <c r="B37" s="494"/>
      <c r="C37" s="495" t="n">
        <v>0.005</v>
      </c>
      <c r="D37" s="477" t="str">
        <f aca="false">IF(ISERROR(VLOOKUP($A37,'liste reference'!$A$7:$D$904,2,0)),IF(ISERROR(VLOOKUP($A37,'liste reference'!$B$7:$D$904,1,0)),"",VLOOKUP($A37,'liste reference'!$B$7:$D$904,1,0)),VLOOKUP($A37,'liste reference'!$A$7:$D$904,2,0))</f>
        <v>Lycopus europaeus</v>
      </c>
      <c r="E37" s="496" t="e">
        <f aca="false">IF(D37="",0,VLOOKUP(D37,D$22:D36,1,0))</f>
        <v>#N/A</v>
      </c>
      <c r="F37" s="501" t="n">
        <f aca="false">($B37*$B$7+$C37*$C$7)/100</f>
        <v>0.0042</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11</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Lycopus europaeus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1789</v>
      </c>
      <c r="Q37" s="486" t="n">
        <f aca="false">IF(ISTEXT(H37),"",(B37*$B$7/100)+(C37*$C$7/100))</f>
        <v>0.0042</v>
      </c>
      <c r="R37" s="487" t="n">
        <f aca="false">IF(OR(ISTEXT(H37),Q37=0),"",IF(Q37&lt;0.1,1,IF(Q37&lt;1,2,IF(Q37&lt;10,3,IF(Q37&lt;50,4,IF(Q37&gt;=50,5,""))))))</f>
        <v>1</v>
      </c>
      <c r="S37" s="487" t="n">
        <f aca="false">IF(ISERROR(R37*I37),0,R37*I37)</f>
        <v>11</v>
      </c>
      <c r="T37" s="487" t="n">
        <f aca="false">IF(ISERROR(R37*I37*J37),0,R37*I37*J37)</f>
        <v>11</v>
      </c>
      <c r="U37" s="499" t="n">
        <f aca="false">IF(ISERROR(R37*J37),0,R37*J37)</f>
        <v>1</v>
      </c>
      <c r="V37" s="488" t="str">
        <f aca="false">IF(AND(A37="",F37=0),"",IF(F37=0,"Il manque le(s) % de rec. !",""))</f>
        <v/>
      </c>
      <c r="W37" s="489"/>
      <c r="Y37" s="490" t="str">
        <f aca="false">IF(A37="new.cod","NEWCOD",IF(AND((Z37=""),ISTEXT(A37)),A37,IF(Z37="","",INDEX('liste reference'!$A$8:$A$904,Z37))))</f>
        <v>LYCEUR</v>
      </c>
      <c r="Z37" s="280" t="n">
        <f aca="false">IF(ISERROR(MATCH(A37,'liste reference'!$A$8:$A$904,0)),IF(ISERROR(MATCH(A37,'liste reference'!$B$8:$B$904,0)),"",(MATCH(A37,'liste reference'!$B$8:$B$904,0))),(MATCH(A37,'liste reference'!$A$8:$A$904,0)))</f>
        <v>596</v>
      </c>
      <c r="AA37" s="491"/>
      <c r="AB37" s="492"/>
      <c r="AC37" s="492"/>
      <c r="BB37" s="280" t="n">
        <f aca="false">IF(A37="","",1)</f>
        <v>1</v>
      </c>
    </row>
    <row r="38" customFormat="false" ht="12.75" hidden="false" customHeight="false" outlineLevel="0" collapsed="false">
      <c r="A38" s="493" t="s">
        <v>1932</v>
      </c>
      <c r="B38" s="494"/>
      <c r="C38" s="495" t="n">
        <v>0.005</v>
      </c>
      <c r="D38" s="477" t="str">
        <f aca="false">IF(ISERROR(VLOOKUP($A38,'liste reference'!$A$7:$D$904,2,0)),IF(ISERROR(VLOOKUP($A38,'liste reference'!$B$7:$D$904,1,0)),"",VLOOKUP($A38,'liste reference'!$B$7:$D$904,1,0)),VLOOKUP($A38,'liste reference'!$A$7:$D$904,2,0))</f>
        <v>Lythrum salicaria</v>
      </c>
      <c r="E38" s="496" t="e">
        <f aca="false">IF(D38="",0,VLOOKUP(D38,D$22:D37,1,0))</f>
        <v>#N/A</v>
      </c>
      <c r="F38" s="501" t="n">
        <f aca="false">($B38*$B$7+$C38*$C$7)/100</f>
        <v>0.0042</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Lythrum salicaria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1823</v>
      </c>
      <c r="Q38" s="486" t="n">
        <f aca="false">IF(ISTEXT(H38),"",(B38*$B$7/100)+(C38*$C$7/100))</f>
        <v>0.0042</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LYTSAL</v>
      </c>
      <c r="Z38" s="280" t="n">
        <f aca="false">IF(ISERROR(MATCH(A38,'liste reference'!$A$8:$A$904,0)),IF(ISERROR(MATCH(A38,'liste reference'!$B$8:$B$904,0)),"",(MATCH(A38,'liste reference'!$B$8:$B$904,0))),(MATCH(A38,'liste reference'!$A$8:$A$904,0)))</f>
        <v>605</v>
      </c>
      <c r="AA38" s="491"/>
      <c r="AB38" s="492"/>
      <c r="AC38" s="492"/>
      <c r="BB38" s="280" t="n">
        <f aca="false">IF(A38="","",1)</f>
        <v>1</v>
      </c>
    </row>
    <row r="39" customFormat="false" ht="12.75" hidden="false" customHeight="false" outlineLevel="0" collapsed="false">
      <c r="A39" s="493" t="s">
        <v>1936</v>
      </c>
      <c r="B39" s="494"/>
      <c r="C39" s="495" t="n">
        <v>0.1</v>
      </c>
      <c r="D39" s="477" t="str">
        <f aca="false">IF(ISERROR(VLOOKUP($A39,'liste reference'!$A$7:$D$904,2,0)),IF(ISERROR(VLOOKUP($A39,'liste reference'!$B$7:$D$904,1,0)),"",VLOOKUP($A39,'liste reference'!$B$7:$D$904,1,0)),VLOOKUP($A39,'liste reference'!$A$7:$D$904,2,0))</f>
        <v>Mentha aquatica</v>
      </c>
      <c r="E39" s="496" t="e">
        <f aca="false">IF(D39="",0,VLOOKUP(D39,D$22:D38,1,0))</f>
        <v>#N/A</v>
      </c>
      <c r="F39" s="501" t="n">
        <f aca="false">($B39*$B$7+$C39*$C$7)/100</f>
        <v>0.084</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aquatica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1791</v>
      </c>
      <c r="Q39" s="486" t="n">
        <f aca="false">IF(ISTEXT(H39),"",(B39*$B$7/100)+(C39*$C$7/100))</f>
        <v>0.084</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489"/>
      <c r="Y39" s="490" t="str">
        <f aca="false">IF(A39="new.cod","NEWCOD",IF(AND((Z39=""),ISTEXT(A39)),A39,IF(Z39="","",INDEX('liste reference'!$A$8:$A$904,Z39))))</f>
        <v>MENAQU</v>
      </c>
      <c r="Z39" s="280" t="n">
        <f aca="false">IF(ISERROR(MATCH(A39,'liste reference'!$A$8:$A$904,0)),IF(ISERROR(MATCH(A39,'liste reference'!$B$8:$B$904,0)),"",(MATCH(A39,'liste reference'!$B$8:$B$904,0))),(MATCH(A39,'liste reference'!$A$8:$A$904,0)))</f>
        <v>607</v>
      </c>
      <c r="AA39" s="491"/>
      <c r="AB39" s="492"/>
      <c r="AC39" s="492"/>
      <c r="BB39" s="280" t="n">
        <f aca="false">IF(A39="","",1)</f>
        <v>1</v>
      </c>
    </row>
    <row r="40" customFormat="false" ht="12.75" hidden="false" customHeight="false" outlineLevel="0" collapsed="false">
      <c r="A40" s="493" t="s">
        <v>1984</v>
      </c>
      <c r="B40" s="494" t="n">
        <v>1.8</v>
      </c>
      <c r="C40" s="495" t="n">
        <v>0.4</v>
      </c>
      <c r="D40" s="477" t="str">
        <f aca="false">IF(ISERROR(VLOOKUP($A40,'liste reference'!$A$7:$D$904,2,0)),IF(ISERROR(VLOOKUP($A40,'liste reference'!$B$7:$D$904,1,0)),"",VLOOKUP($A40,'liste reference'!$B$7:$D$904,1,0)),VLOOKUP($A40,'liste reference'!$A$7:$D$904,2,0))</f>
        <v>Nasturtium officinale</v>
      </c>
      <c r="E40" s="496" t="e">
        <f aca="false">IF(D40="",0,VLOOKUP(D40,D$22:D39,1,0))</f>
        <v>#N/A</v>
      </c>
      <c r="F40" s="501" t="n">
        <f aca="false">($B40*$B$7+$C40*$C$7)/100</f>
        <v>0.624</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11</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Nasturtium officinale</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1763</v>
      </c>
      <c r="Q40" s="486" t="n">
        <f aca="false">IF(ISTEXT(H40),"",(B40*$B$7/100)+(C40*$C$7/100))</f>
        <v>0.624</v>
      </c>
      <c r="R40" s="487" t="n">
        <f aca="false">IF(OR(ISTEXT(H40),Q40=0),"",IF(Q40&lt;0.1,1,IF(Q40&lt;1,2,IF(Q40&lt;10,3,IF(Q40&lt;50,4,IF(Q40&gt;=50,5,""))))))</f>
        <v>2</v>
      </c>
      <c r="S40" s="487" t="n">
        <f aca="false">IF(ISERROR(R40*I40),0,R40*I40)</f>
        <v>22</v>
      </c>
      <c r="T40" s="487" t="n">
        <f aca="false">IF(ISERROR(R40*I40*J40),0,R40*I40*J40)</f>
        <v>22</v>
      </c>
      <c r="U40" s="499" t="n">
        <f aca="false">IF(ISERROR(R40*J40),0,R40*J40)</f>
        <v>2</v>
      </c>
      <c r="V40" s="488" t="str">
        <f aca="false">IF(AND(A40="",F40=0),"",IF(F40=0,"Il manque le(s) % de rec. !",""))</f>
        <v/>
      </c>
      <c r="W40" s="489"/>
      <c r="Y40" s="490" t="str">
        <f aca="false">IF(A40="new.cod","NEWCOD",IF(AND((Z40=""),ISTEXT(A40)),A40,IF(Z40="","",INDEX('liste reference'!$A$8:$A$904,Z40))))</f>
        <v>NASOFF</v>
      </c>
      <c r="Z40" s="280" t="n">
        <f aca="false">IF(ISERROR(MATCH(A40,'liste reference'!$A$8:$A$904,0)),IF(ISERROR(MATCH(A40,'liste reference'!$B$8:$B$904,0)),"",(MATCH(A40,'liste reference'!$B$8:$B$904,0))),(MATCH(A40,'liste reference'!$A$8:$A$904,0)))</f>
        <v>628</v>
      </c>
      <c r="AA40" s="491"/>
      <c r="AB40" s="492"/>
      <c r="AC40" s="492"/>
      <c r="BB40" s="280" t="n">
        <f aca="false">IF(A40="","",1)</f>
        <v>1</v>
      </c>
    </row>
    <row r="41" customFormat="false" ht="12.75" hidden="false" customHeight="false" outlineLevel="0" collapsed="false">
      <c r="A41" s="493" t="s">
        <v>2009</v>
      </c>
      <c r="B41" s="494"/>
      <c r="C41" s="495" t="n">
        <v>0.005</v>
      </c>
      <c r="D41" s="477" t="str">
        <f aca="false">IF(ISERROR(VLOOKUP($A41,'liste reference'!$A$7:$D$904,2,0)),IF(ISERROR(VLOOKUP($A41,'liste reference'!$B$7:$D$904,1,0)),"",VLOOKUP($A41,'liste reference'!$B$7:$D$904,1,0)),VLOOKUP($A41,'liste reference'!$A$7:$D$904,2,0))</f>
        <v>Polygonum hydropiper</v>
      </c>
      <c r="E41" s="496" t="e">
        <f aca="false">IF(D41="",0,VLOOKUP(D41,D$22:D40,1,0))</f>
        <v>#N/A</v>
      </c>
      <c r="F41" s="501" t="n">
        <f aca="false">($B41*$B$7+$C41*$C$7)/100</f>
        <v>0.0042</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8</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Polygonum hydropiper</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1865</v>
      </c>
      <c r="Q41" s="486" t="n">
        <f aca="false">IF(ISTEXT(H41),"",(B41*$B$7/100)+(C41*$C$7/100))</f>
        <v>0.0042</v>
      </c>
      <c r="R41" s="487" t="n">
        <f aca="false">IF(OR(ISTEXT(H41),Q41=0),"",IF(Q41&lt;0.1,1,IF(Q41&lt;1,2,IF(Q41&lt;10,3,IF(Q41&lt;50,4,IF(Q41&gt;=50,5,""))))))</f>
        <v>1</v>
      </c>
      <c r="S41" s="487" t="n">
        <f aca="false">IF(ISERROR(R41*I41),0,R41*I41)</f>
        <v>8</v>
      </c>
      <c r="T41" s="487" t="n">
        <f aca="false">IF(ISERROR(R41*I41*J41),0,R41*I41*J41)</f>
        <v>16</v>
      </c>
      <c r="U41" s="499" t="n">
        <f aca="false">IF(ISERROR(R41*J41),0,R41*J41)</f>
        <v>2</v>
      </c>
      <c r="V41" s="488" t="str">
        <f aca="false">IF(AND(A41="",F41=0),"",IF(F41=0,"Il manque le(s) % de rec. !",""))</f>
        <v/>
      </c>
      <c r="W41" s="489"/>
      <c r="Y41" s="490" t="str">
        <f aca="false">IF(A41="new.cod","NEWCOD",IF(AND((Z41=""),ISTEXT(A41)),A41,IF(Z41="","",INDEX('liste reference'!$A$8:$A$904,Z41))))</f>
        <v>POLHYD</v>
      </c>
      <c r="Z41" s="280" t="n">
        <f aca="false">IF(ISERROR(MATCH(A41,'liste reference'!$A$8:$A$904,0)),IF(ISERROR(MATCH(A41,'liste reference'!$B$8:$B$904,0)),"",(MATCH(A41,'liste reference'!$B$8:$B$904,0))),(MATCH(A41,'liste reference'!$A$8:$A$904,0)))</f>
        <v>637</v>
      </c>
      <c r="AA41" s="491"/>
      <c r="AB41" s="492"/>
      <c r="AC41" s="492"/>
      <c r="BB41" s="280" t="n">
        <f aca="false">IF(A41="","",1)</f>
        <v>1</v>
      </c>
    </row>
    <row r="42" customFormat="false" ht="12.75" hidden="false" customHeight="false" outlineLevel="0" collapsed="false">
      <c r="A42" s="493" t="s">
        <v>2111</v>
      </c>
      <c r="B42" s="494" t="n">
        <v>0.3</v>
      </c>
      <c r="C42" s="495" t="n">
        <v>0.1</v>
      </c>
      <c r="D42" s="477" t="str">
        <f aca="false">IF(ISERROR(VLOOKUP($A42,'liste reference'!$A$7:$D$904,2,0)),IF(ISERROR(VLOOKUP($A42,'liste reference'!$B$7:$D$904,1,0)),"",VLOOKUP($A42,'liste reference'!$B$7:$D$904,1,0)),VLOOKUP($A42,'liste reference'!$A$7:$D$904,2,0))</f>
        <v>Veronica beccabunga</v>
      </c>
      <c r="E42" s="496" t="e">
        <f aca="false">IF(D42="",0,VLOOKUP(D42,D$22:D41,1,0))</f>
        <v>#N/A</v>
      </c>
      <c r="F42" s="501" t="n">
        <f aca="false">($B42*$B$7+$C42*$C$7)/100</f>
        <v>0.132</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10</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Veronica beccabunga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1957</v>
      </c>
      <c r="Q42" s="486" t="n">
        <f aca="false">IF(ISTEXT(H42),"",(B42*$B$7/100)+(C42*$C$7/100))</f>
        <v>0.132</v>
      </c>
      <c r="R42" s="487" t="n">
        <f aca="false">IF(OR(ISTEXT(H42),Q42=0),"",IF(Q42&lt;0.1,1,IF(Q42&lt;1,2,IF(Q42&lt;10,3,IF(Q42&lt;50,4,IF(Q42&gt;=50,5,""))))))</f>
        <v>2</v>
      </c>
      <c r="S42" s="487" t="n">
        <f aca="false">IF(ISERROR(R42*I42),0,R42*I42)</f>
        <v>20</v>
      </c>
      <c r="T42" s="487" t="n">
        <f aca="false">IF(ISERROR(R42*I42*J42),0,R42*I42*J42)</f>
        <v>20</v>
      </c>
      <c r="U42" s="499" t="n">
        <f aca="false">IF(ISERROR(R42*J42),0,R42*J42)</f>
        <v>2</v>
      </c>
      <c r="V42" s="488" t="str">
        <f aca="false">IF(AND(A42="",F42=0),"",IF(F42=0,"Il manque le(s) % de rec. !",""))</f>
        <v/>
      </c>
      <c r="W42" s="489"/>
      <c r="Y42" s="490" t="str">
        <f aca="false">IF(A42="new.cod","NEWCOD",IF(AND((Z42=""),ISTEXT(A42)),A42,IF(Z42="","",INDEX('liste reference'!$A$8:$A$904,Z42))))</f>
        <v>VERBEC</v>
      </c>
      <c r="Z42" s="280" t="n">
        <f aca="false">IF(ISERROR(MATCH(A42,'liste reference'!$A$8:$A$904,0)),IF(ISERROR(MATCH(A42,'liste reference'!$B$8:$B$904,0)),"",(MATCH(A42,'liste reference'!$B$8:$B$904,0))),(MATCH(A42,'liste reference'!$A$8:$A$904,0)))</f>
        <v>683</v>
      </c>
      <c r="AA42" s="491"/>
      <c r="AB42" s="492"/>
      <c r="AC42" s="492"/>
      <c r="BB42" s="280" t="n">
        <f aca="false">IF(A42="","",1)</f>
        <v>1</v>
      </c>
    </row>
    <row r="43" customFormat="false" ht="12.75" hidden="false" customHeight="false" outlineLevel="0" collapsed="false">
      <c r="A43" s="493" t="s">
        <v>2422</v>
      </c>
      <c r="B43" s="494"/>
      <c r="C43" s="495" t="n">
        <v>0.005</v>
      </c>
      <c r="D43" s="477" t="str">
        <f aca="false">IF(ISERROR(VLOOKUP($A43,'liste reference'!$A$7:$D$904,2,0)),IF(ISERROR(VLOOKUP($A43,'liste reference'!$B$7:$D$904,1,0)),"",VLOOKUP($A43,'liste reference'!$B$7:$D$904,1,0)),VLOOKUP($A43,'liste reference'!$A$7:$D$904,2,0))</f>
        <v>Scrophularia umbrosa</v>
      </c>
      <c r="E43" s="496" t="e">
        <f aca="false">IF(D43="",0,VLOOKUP(D43,D$22:D42,1,0))</f>
        <v>#N/A</v>
      </c>
      <c r="F43" s="501" t="n">
        <f aca="false">($B43*$B$7+$C43*$C$7)/100</f>
        <v>0.0042</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Scrophularia umbrosa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1953</v>
      </c>
      <c r="Q43" s="486" t="n">
        <f aca="false">IF(ISTEXT(H43),"",(B43*$B$7/100)+(C43*$C$7/100))</f>
        <v>0.0042</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SCRUMB</v>
      </c>
      <c r="Z43" s="280" t="n">
        <f aca="false">IF(ISERROR(MATCH(A43,'liste reference'!$A$8:$A$904,0)),IF(ISERROR(MATCH(A43,'liste reference'!$B$8:$B$904,0)),"",(MATCH(A43,'liste reference'!$B$8:$B$904,0))),(MATCH(A43,'liste reference'!$A$8:$A$904,0)))</f>
        <v>818</v>
      </c>
      <c r="AA43" s="491"/>
      <c r="AB43" s="492"/>
      <c r="AC43" s="492"/>
      <c r="BB43" s="280" t="n">
        <f aca="false">IF(A43="","",1)</f>
        <v>1</v>
      </c>
    </row>
    <row r="44" customFormat="false" ht="12.75" hidden="false" customHeight="false" outlineLevel="0" collapsed="false">
      <c r="A44" s="493" t="s">
        <v>2686</v>
      </c>
      <c r="B44" s="494" t="n">
        <v>0.005</v>
      </c>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0.0008</v>
      </c>
      <c r="G44" s="479" t="str">
        <f aca="false">IF(A44="","",IF(ISERROR(VLOOKUP($A44,'liste reference'!$A$7:$P$904,13,0)),IF(ISERROR(VLOOKUP($A44,'liste reference'!$B$7:$P$904,12,0)),"    -",VLOOKUP($A44,'liste reference'!$B$7:$P$904,12,0)),VLOOKUP($A44,'liste reference'!$A$7:$P$904,13,0)))</f>
        <v>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Hypericum tetrapterum</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No</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NEWCOD</v>
      </c>
      <c r="Z44" s="280" t="str">
        <f aca="false">IF(ISERROR(MATCH(A44,'liste reference'!$A$8:$A$904,0)),IF(ISERROR(MATCH(A44,'liste reference'!$B$8:$B$904,0)),"",(MATCH(A44,'liste reference'!$B$8:$B$904,0))),(MATCH(A44,'liste reference'!$A$8:$A$904,0)))</f>
        <v/>
      </c>
      <c r="AA44" s="491"/>
      <c r="AB44" s="492" t="s">
        <v>2687</v>
      </c>
      <c r="AC44" s="492"/>
      <c r="BB44" s="280" t="n">
        <f aca="false">IF(A44="","",1)</f>
        <v>1</v>
      </c>
    </row>
    <row r="45" customFormat="false" ht="12.75" hidden="false" customHeight="false" outlineLevel="0" collapsed="false">
      <c r="A45" s="493" t="s">
        <v>2686</v>
      </c>
      <c r="B45" s="494"/>
      <c r="C45" s="495" t="n">
        <v>0.005</v>
      </c>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0.0042</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Gleitlerinema sp.</v>
      </c>
      <c r="L45" s="498"/>
      <c r="M45" s="498"/>
      <c r="N45" s="498"/>
      <c r="O45" s="484" t="s">
        <v>2685</v>
      </c>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t="s">
        <v>2685</v>
      </c>
      <c r="AB45" s="492" t="s">
        <v>2688</v>
      </c>
      <c r="AC45" s="492"/>
      <c r="BB45" s="280" t="n">
        <f aca="false">IF(A45="","",1)</f>
        <v>1</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Alzon</v>
      </c>
      <c r="B84" s="529" t="str">
        <f aca="false">C3</f>
        <v>Saint Maximin</v>
      </c>
      <c r="C84" s="530" t="n">
        <f aca="false">A4</f>
        <v>41492</v>
      </c>
      <c r="D84" s="531" t="n">
        <f aca="false">IF(ISERROR(SUM($T$23:$T$82)/SUM($U$23:$U$82)),"",SUM($T$23:$T$82)/SUM($U$23:$U$82))</f>
        <v>9.52</v>
      </c>
      <c r="E84" s="532" t="n">
        <f aca="false">N13</f>
        <v>23</v>
      </c>
      <c r="F84" s="529" t="n">
        <f aca="false">N14</f>
        <v>21</v>
      </c>
      <c r="G84" s="529" t="n">
        <f aca="false">N15</f>
        <v>12</v>
      </c>
      <c r="H84" s="529" t="n">
        <f aca="false">N16</f>
        <v>4</v>
      </c>
      <c r="I84" s="529" t="n">
        <f aca="false">N17</f>
        <v>0</v>
      </c>
      <c r="J84" s="533" t="n">
        <f aca="false">N8</f>
        <v>7.61904761904762</v>
      </c>
      <c r="K84" s="531" t="n">
        <f aca="false">N9</f>
        <v>4.68509480999956</v>
      </c>
      <c r="L84" s="532" t="n">
        <f aca="false">N10</f>
        <v>0</v>
      </c>
      <c r="M84" s="532" t="n">
        <f aca="false">N11</f>
        <v>13</v>
      </c>
      <c r="N84" s="531" t="n">
        <f aca="false">O8</f>
        <v>0.952380952380952</v>
      </c>
      <c r="O84" s="531" t="n">
        <f aca="false">O9</f>
        <v>0.65291948575248</v>
      </c>
      <c r="P84" s="532" t="n">
        <f aca="false">O10</f>
        <v>0</v>
      </c>
      <c r="Q84" s="532" t="n">
        <f aca="false">O11</f>
        <v>2</v>
      </c>
      <c r="R84" s="532" t="n">
        <f aca="false">F21</f>
        <v>7.3244</v>
      </c>
      <c r="S84" s="532" t="n">
        <f aca="false">K11</f>
        <v>0</v>
      </c>
      <c r="T84" s="532" t="n">
        <f aca="false">K12</f>
        <v>7</v>
      </c>
      <c r="U84" s="532" t="n">
        <f aca="false">K13</f>
        <v>2</v>
      </c>
      <c r="V84" s="534" t="n">
        <f aca="false">K14</f>
        <v>0</v>
      </c>
      <c r="W84" s="535" t="n">
        <f aca="false">K15</f>
        <v>12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22</v>
      </c>
      <c r="T87" s="280"/>
      <c r="U87" s="280"/>
      <c r="V87" s="280"/>
    </row>
    <row r="88" customFormat="false" ht="12.75" hidden="true" customHeight="false" outlineLevel="0" collapsed="false">
      <c r="P88" s="280"/>
      <c r="Q88" s="280" t="s">
        <v>2692</v>
      </c>
      <c r="R88" s="280"/>
      <c r="S88" s="488" t="n">
        <f aca="false">VLOOKUP((S87),($S$23:$U$82),2,0)</f>
        <v>22</v>
      </c>
      <c r="T88" s="280"/>
      <c r="U88" s="280"/>
      <c r="V88" s="280"/>
    </row>
    <row r="89" customFormat="false" ht="12.75" hidden="true" customHeight="false" outlineLevel="0" collapsed="false">
      <c r="Q89" s="280" t="s">
        <v>2693</v>
      </c>
      <c r="R89" s="280"/>
      <c r="S89" s="488" t="n">
        <f aca="false">VLOOKUP((S87),($S$23:$U$82),3,0)</f>
        <v>2</v>
      </c>
      <c r="T89" s="280"/>
    </row>
    <row r="90" customFormat="false" ht="12.75" hidden="false" customHeight="false" outlineLevel="0" collapsed="false">
      <c r="Q90" s="280" t="s">
        <v>2694</v>
      </c>
      <c r="R90" s="280"/>
      <c r="S90" s="538" t="n">
        <f aca="false">IF(ISERROR(SUM($T$23:$T$82)/SUM($U$23:$U$82)),"",(SUM($T$23:$T$82)-S88)/(SUM($U$23:$U$82)-S89))</f>
        <v>9.39130434782609</v>
      </c>
      <c r="T90" s="280"/>
    </row>
    <row r="91" customFormat="false" ht="12.75" hidden="false" customHeight="false" outlineLevel="0" collapsed="false">
      <c r="Q91" s="487" t="s">
        <v>2695</v>
      </c>
      <c r="R91" s="487"/>
      <c r="S91" s="487" t="str">
        <f aca="false">INDEX('liste reference'!$A$8:$A$904,$T$91)</f>
        <v>NASOFF</v>
      </c>
      <c r="T91" s="280" t="n">
        <f aca="false">IF(ISERROR(MATCH($S$93,'liste reference'!$A$8:$A$904,0)),MATCH($S$93,'liste reference'!$B$8:$B$904,0),(MATCH($S$93,'liste reference'!$A$8:$A$904,0)))</f>
        <v>628</v>
      </c>
      <c r="U91" s="527"/>
    </row>
    <row r="92" customFormat="false" ht="12.75" hidden="false" customHeight="false" outlineLevel="0" collapsed="false">
      <c r="Q92" s="280" t="s">
        <v>2696</v>
      </c>
      <c r="R92" s="280"/>
      <c r="S92" s="280" t="n">
        <f aca="false">MATCH(S87,$S$23:$S$82,0)</f>
        <v>18</v>
      </c>
      <c r="T92" s="280"/>
    </row>
    <row r="93" customFormat="false" ht="12.75" hidden="false" customHeight="false" outlineLevel="0" collapsed="false">
      <c r="Q93" s="487" t="s">
        <v>2697</v>
      </c>
      <c r="R93" s="280"/>
      <c r="S93" s="487" t="str">
        <f aca="false">INDEX($A$23:$A$82,$S$92)</f>
        <v>NASOFF</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GASNIER Laurent</cp:lastModifiedBy>
  <cp:lastPrinted>2013-01-10T22:36:43Z</cp:lastPrinted>
  <dcterms:modified xsi:type="dcterms:W3CDTF">2014-07-11T15:11:27Z</dcterms:modified>
  <cp:revision>0</cp:revision>
  <dc:subject/>
  <dc:title>Feuille d'aide au calcul de l'IBMR</dc:title>
</cp:coreProperties>
</file>