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Gard à Remoulin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'Gard à Remoulins'!$A$1:$O$82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<sst xmlns="http://schemas.openxmlformats.org/spreadsheetml/2006/main" count="9454" uniqueCount="2735">
  <si>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</si>
  <si>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</si>
  <si>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</si>
  <si>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</si>
  <si>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</si>
  <si>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</si>
  <si>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</si>
  <si>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</si>
  <si>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</si>
  <si>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</si>
  <si>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</si>
  <si>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</si>
  <si>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</si>
  <si>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</si>
  <si>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</si>
  <si>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</si>
  <si>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</si>
  <si>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</si>
  <si>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</si>
  <si>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</si>
  <si>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</si>
  <si>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</si>
  <si>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</si>
  <si>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</si>
  <si>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</si>
  <si>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</si>
  <si>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</si>
  <si>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</si>
  <si>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</si>
  <si>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</si>
  <si>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</si>
  <si>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</si>
  <si>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</si>
  <si>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</si>
  <si>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</si>
  <si>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</si>
  <si>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</si>
  <si>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</si>
  <si>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</si>
  <si>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</si>
  <si>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</si>
  <si>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</si>
  <si>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</si>
  <si>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</si>
  <si>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</si>
  <si>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</si>
  <si>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</si>
  <si>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</si>
  <si>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</si>
  <si>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</si>
  <si>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</si>
  <si>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</si>
  <si>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</si>
  <si>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</si>
  <si>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</si>
  <si>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</si>
  <si>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</si>
  <si>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</si>
  <si>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</si>
  <si>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</si>
  <si>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</si>
  <si>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</si>
  <si>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</si>
  <si>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</si>
  <si>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</si>
  <si>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</si>
  <si>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</si>
  <si>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</si>
  <si>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</si>
  <si>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</si>
  <si>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</si>
  <si>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</si>
  <si>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</si>
  <si>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</si>
  <si>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</si>
  <si>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</si>
  <si>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</si>
  <si>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</si>
  <si>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</si>
  <si>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</si>
  <si>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</si>
  <si>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</si>
  <si>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</si>
  <si>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</si>
  <si>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</si>
  <si>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</si>
  <si>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</si>
  <si>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</si>
  <si>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</si>
  <si>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</si>
  <si>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</si>
  <si>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</si>
  <si>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</si>
  <si>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</si>
  <si>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</si>
  <si>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</si>
  <si>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</si>
  <si>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</si>
  <si>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</si>
  <si>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</si>
  <si>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</si>
  <si>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</si>
  <si>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</si>
  <si>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</si>
  <si>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</si>
  <si>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</si>
  <si>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</si>
  <si>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</si>
  <si>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</si>
  <si>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</si>
  <si>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</si>
  <si>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</si>
  <si>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</si>
  <si>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</si>
  <si>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</si>
  <si>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</si>
  <si>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</si>
  <si>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</si>
  <si>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</si>
  <si>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</si>
  <si>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</si>
  <si>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</si>
  <si>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</si>
  <si>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</si>
  <si>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</si>
  <si>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</si>
  <si>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</si>
  <si>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</si>
  <si>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</si>
  <si>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</si>
  <si>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</si>
  <si>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</si>
  <si>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</si>
  <si>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</si>
  <si>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</si>
  <si>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</si>
  <si>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</si>
  <si>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</si>
  <si>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</si>
  <si>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</si>
  <si>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</si>
  <si>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</si>
  <si>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</si>
  <si>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</si>
  <si>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</si>
  <si>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</si>
  <si>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</si>
  <si>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</si>
  <si>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</si>
  <si>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</si>
  <si>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</si>
  <si>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</si>
  <si>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</si>
  <si>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</si>
  <si>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</si>
  <si>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</si>
  <si>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</si>
  <si>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</si>
  <si>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</si>
  <si>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</si>
  <si>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</si>
  <si>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</si>
  <si>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</si>
  <si>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</si>
  <si>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</si>
  <si>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</si>
  <si>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</si>
  <si>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</si>
  <si>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</si>
  <si>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</si>
  <si>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</si>
  <si>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</si>
  <si>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</si>
  <si>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</si>
  <si>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</si>
  <si>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</si>
  <si>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</si>
  <si>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</si>
  <si>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</si>
  <si>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</si>
  <si>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</si>
  <si>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</si>
  <si>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</si>
  <si>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</si>
  <si>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</si>
  <si>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</si>
  <si>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</si>
  <si>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</si>
  <si>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</si>
  <si>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</si>
  <si>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</si>
  <si>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</si>
  <si>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</si>
  <si>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</si>
  <si>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</si>
  <si>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</si>
  <si>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</si>
  <si>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</si>
  <si>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</si>
  <si>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</si>
  <si>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</si>
  <si>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</si>
  <si>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</si>
  <si>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</si>
  <si>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</si>
  <si>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</si>
  <si>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</si>
  <si>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</si>
  <si>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</si>
  <si>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</si>
  <si>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</si>
  <si>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</si>
  <si>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</si>
  <si>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</si>
  <si>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</si>
  <si>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</si>
  <si>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</si>
  <si>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</si>
  <si>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</si>
  <si>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</si>
  <si>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</si>
  <si>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</si>
  <si>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</si>
  <si>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</si>
  <si>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</si>
  <si>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</si>
  <si>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</si>
  <si>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</si>
  <si>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</si>
  <si>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</si>
  <si>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</si>
  <si>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</si>
  <si>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</si>
  <si>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</si>
  <si>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</si>
  <si>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</si>
  <si>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</si>
  <si>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</si>
  <si>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</si>
  <si>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</si>
  <si>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</si>
  <si>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</si>
  <si>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</si>
  <si>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</si>
  <si>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</si>
  <si>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</si>
  <si>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</si>
  <si>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</si>
  <si>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</si>
  <si>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</si>
  <si>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</si>
  <si>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</si>
  <si>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</si>
  <si>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</si>
  <si>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</si>
  <si>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</si>
  <si>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</si>
  <si>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</si>
  <si>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</si>
  <si>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</si>
  <si>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</si>
  <si>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</si>
  <si>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</si>
  <si>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</si>
  <si>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</si>
  <si>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</si>
  <si>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</si>
  <si>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</si>
  <si>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</si>
  <si>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</si>
  <si>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</si>
  <si>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</si>
  <si>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</si>
  <si>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</si>
  <si>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</si>
  <si>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</si>
  <si>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</si>
  <si>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</si>
  <si>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</si>
  <si>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</si>
  <si>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</si>
  <si>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</si>
  <si>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</si>
  <si>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</si>
  <si>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</si>
  <si>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</si>
  <si>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</si>
  <si>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</si>
  <si>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</si>
  <si>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</si>
  <si>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</si>
  <si>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</si>
  <si>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</si>
  <si>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</si>
  <si>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</si>
  <si>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</si>
  <si>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</si>
  <si>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</si>
  <si>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</si>
  <si>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</si>
  <si>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</si>
  <si>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</si>
  <si>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</si>
  <si>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</si>
  <si>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</si>
  <si>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</si>
  <si>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</si>
  <si>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</si>
  <si>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</si>
  <si>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</si>
  <si>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</si>
  <si>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</si>
  <si>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</si>
  <si>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</si>
  <si>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</si>
  <si>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</si>
  <si>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</si>
  <si>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</si>
  <si>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</si>
  <si>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</si>
  <si>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</si>
  <si>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</si>
  <si>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</si>
  <si>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</si>
  <si>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</si>
  <si>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</si>
  <si>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</si>
  <si>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</si>
  <si>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</si>
  <si>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</si>
  <si>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</si>
  <si>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</si>
  <si>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</si>
  <si>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</si>
  <si>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</si>
  <si>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</si>
  <si>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</si>
  <si>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</si>
  <si>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</si>
  <si>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</si>
  <si>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</si>
  <si>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</si>
  <si>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</si>
  <si>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</si>
  <si>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</si>
  <si>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</si>
  <si>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</si>
  <si>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</si>
  <si>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</si>
  <si>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</si>
  <si>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</si>
  <si>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</si>
  <si>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</si>
  <si>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</si>
  <si>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</si>
  <si>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</si>
  <si>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</si>
  <si>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</si>
  <si>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</si>
  <si>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</si>
  <si>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</si>
  <si>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</si>
  <si>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</si>
  <si>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</si>
  <si>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</si>
  <si>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</si>
  <si>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</si>
  <si>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</si>
  <si>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</si>
  <si>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</si>
  <si>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</si>
  <si>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</si>
  <si>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</si>
  <si>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</si>
  <si>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</si>
  <si>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</si>
  <si>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</si>
  <si>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</si>
  <si>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</si>
  <si>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</si>
  <si>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</si>
  <si>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</si>
  <si>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</si>
  <si>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</si>
  <si>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</si>
  <si>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</si>
  <si>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</si>
  <si>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</si>
  <si>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</si>
  <si>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</si>
  <si>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</si>
  <si>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</si>
  <si>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</si>
  <si>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</si>
  <si>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</si>
  <si>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</si>
  <si>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</si>
  <si>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</si>
  <si>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</si>
  <si>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</si>
  <si>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</si>
  <si>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</si>
  <si>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</si>
  <si>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</si>
  <si>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</si>
  <si>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</si>
  <si>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</si>
  <si>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</si>
  <si>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</si>
  <si>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</si>
  <si>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</si>
  <si>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</si>
  <si>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</si>
  <si>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</si>
  <si>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</si>
  <si>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</si>
  <si>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</si>
  <si>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</si>
  <si>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</si>
  <si>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</si>
  <si>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</si>
  <si>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</si>
  <si>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</si>
  <si>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</si>
  <si>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</si>
  <si>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</si>
  <si>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</si>
  <si>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</si>
  <si>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</si>
  <si>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</si>
  <si>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</si>
  <si>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</si>
  <si>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</si>
  <si>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</si>
  <si>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</si>
  <si>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</si>
  <si>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</si>
  <si>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</si>
  <si>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</si>
  <si>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</si>
  <si>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</si>
  <si>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</si>
  <si>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</si>
  <si>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</si>
  <si>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</si>
  <si>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</si>
  <si>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</si>
  <si>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</si>
  <si>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</si>
  <si>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</si>
  <si>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</si>
  <si>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</si>
  <si>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</si>
  <si>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</si>
  <si>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</si>
  <si>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</si>
  <si>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</si>
  <si>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</si>
  <si>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</si>
  <si>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</si>
  <si>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</si>
  <si>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</si>
  <si>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</si>
  <si>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</si>
  <si>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</si>
  <si>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</si>
  <si>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</si>
  <si>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</si>
  <si>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</si>
  <si>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</si>
  <si>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</si>
  <si>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</si>
  <si>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</si>
  <si>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</si>
  <si>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</si>
  <si>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</si>
  <si>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</si>
  <si>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</si>
  <si>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</si>
  <si>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</si>
  <si>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</si>
  <si>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</si>
  <si>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</si>
  <si>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</si>
  <si>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</si>
  <si>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</si>
  <si>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</si>
  <si>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</si>
  <si>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</si>
  <si>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</si>
  <si>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</si>
  <si>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</si>
  <si>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</si>
  <si>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</si>
  <si>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</si>
  <si>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</si>
  <si>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</si>
  <si>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</si>
  <si>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</si>
  <si>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</si>
  <si>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</si>
  <si>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</si>
  <si>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</si>
  <si>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</si>
  <si>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</si>
  <si>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</si>
  <si>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</si>
  <si>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</si>
  <si>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</si>
  <si>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</si>
  <si>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</si>
  <si>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</si>
  <si>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</si>
  <si>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</si>
  <si>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</si>
  <si>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</si>
  <si>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</si>
  <si>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</si>
  <si>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</si>
  <si>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</si>
  <si>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</si>
  <si>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</si>
  <si>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</si>
  <si>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</si>
  <si>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</si>
  <si>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</si>
  <si>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</si>
  <si>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</si>
  <si>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</si>
  <si>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</si>
  <si>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</si>
  <si>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</si>
  <si>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</si>
  <si>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</si>
  <si>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</si>
  <si>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</si>
  <si>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</si>
  <si>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</si>
  <si>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</si>
  <si>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</si>
  <si>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</si>
  <si>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</si>
  <si>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</si>
  <si>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</si>
  <si>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</si>
  <si>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</si>
  <si>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</si>
  <si>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</si>
  <si>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</si>
  <si>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</si>
  <si>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</si>
  <si>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</si>
  <si>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</si>
  <si>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</si>
  <si>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</si>
  <si>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</si>
  <si>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</si>
  <si>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</si>
  <si>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</si>
  <si>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</si>
  <si>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</si>
  <si>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</si>
  <si>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</si>
  <si>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</si>
  <si>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</si>
  <si>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</si>
  <si>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</si>
  <si>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</si>
  <si>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</si>
  <si>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</si>
  <si>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</si>
  <si>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</si>
  <si>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</si>
  <si>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</si>
  <si>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</si>
  <si>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</si>
  <si>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</si>
  <si>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</si>
  <si>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</si>
  <si>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</si>
  <si>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</si>
  <si>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</si>
  <si>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</si>
  <si>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</si>
  <si>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</si>
  <si>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</si>
  <si>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</si>
  <si>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</si>
  <si>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</si>
  <si>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</si>
  <si>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</si>
  <si>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</si>
  <si>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</si>
  <si>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</si>
  <si>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</si>
  <si>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</si>
  <si>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</si>
  <si>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</si>
  <si>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</si>
  <si>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</si>
  <si>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</si>
  <si>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</si>
  <si>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</si>
  <si>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</si>
  <si>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</si>
  <si>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</si>
  <si>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</si>
  <si>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</si>
  <si>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</si>
  <si>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</si>
  <si>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</si>
  <si>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</si>
  <si>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</si>
  <si>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</si>
  <si>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</si>
  <si>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</si>
  <si>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</si>
  <si>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</si>
  <si>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</si>
  <si>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</si>
  <si>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</si>
  <si>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</si>
  <si>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</si>
  <si>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</si>
  <si>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</si>
  <si>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</si>
  <si>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</si>
  <si>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</si>
  <si>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</si>
  <si>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</si>
  <si>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</si>
  <si>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</si>
  <si>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</si>
  <si>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</si>
  <si>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</si>
  <si>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</si>
  <si>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</si>
  <si>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</si>
  <si>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</si>
  <si>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</si>
  <si>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</si>
  <si>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</si>
  <si>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</si>
  <si>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</si>
  <si>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</si>
  <si>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</si>
  <si>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</si>
  <si>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</si>
  <si>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</si>
  <si>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</si>
  <si>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</si>
  <si>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</si>
  <si>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</si>
  <si>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</si>
  <si>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</si>
  <si>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</si>
  <si>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</si>
  <si>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</si>
  <si>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</si>
  <si>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</si>
  <si>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</si>
  <si>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</si>
  <si>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</si>
  <si>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</si>
  <si>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</si>
  <si>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</si>
  <si>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</si>
  <si>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</si>
  <si>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</si>
  <si>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</si>
  <si>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</si>
  <si>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</si>
  <si>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</si>
  <si>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</si>
  <si>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</si>
  <si>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</si>
  <si>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</si>
  <si>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</si>
  <si>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</si>
  <si>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</si>
  <si>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</si>
  <si>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</si>
  <si>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</si>
  <si>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</si>
  <si>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</si>
  <si>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</si>
  <si>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</si>
  <si>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</si>
  <si>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</si>
  <si>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</si>
  <si>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</si>
  <si>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</si>
  <si>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</si>
  <si>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</si>
  <si>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</si>
  <si>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</si>
  <si>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</si>
  <si>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</si>
  <si>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</si>
  <si>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</si>
  <si>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</si>
  <si>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</si>
  <si>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</si>
  <si>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</si>
  <si>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</si>
  <si>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</si>
  <si>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</si>
  <si>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</si>
  <si>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</si>
  <si>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</si>
  <si>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</si>
  <si>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</si>
  <si>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</si>
  <si>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</si>
  <si>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</si>
  <si>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</si>
  <si>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</si>
  <si>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</si>
  <si>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</si>
  <si>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</si>
  <si>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</si>
  <si>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</si>
  <si>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</si>
  <si>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</si>
  <si>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</si>
  <si>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</si>
  <si>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</si>
  <si>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</si>
  <si>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</si>
  <si>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</si>
  <si>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</si>
  <si>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</si>
  <si>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</si>
  <si>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</si>
  <si>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</si>
  <si>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</si>
  <si>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</si>
  <si>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</si>
  <si>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</si>
  <si>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</si>
  <si>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</si>
  <si>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</si>
  <si>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</si>
  <si>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</si>
  <si>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</si>
  <si>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</si>
  <si>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</si>
  <si>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</si>
  <si>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</si>
  <si>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</si>
  <si>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</si>
  <si>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</si>
  <si>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</si>
  <si>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</si>
  <si>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</si>
  <si>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</si>
  <si>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</si>
  <si>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</si>
  <si>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</si>
  <si>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</si>
  <si>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</si>
  <si>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</si>
  <si>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</si>
  <si>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</si>
  <si>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</si>
  <si>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</si>
  <si>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</si>
  <si>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</si>
  <si>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</si>
  <si>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</si>
  <si>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</si>
  <si>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</si>
  <si>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</si>
  <si>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</si>
  <si>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</si>
  <si>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</si>
  <si>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</si>
  <si>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</si>
  <si>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</si>
  <si>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</si>
  <si>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</si>
  <si>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</si>
  <si>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</si>
  <si>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</si>
  <si>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</si>
  <si>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</si>
  <si>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</si>
  <si>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</si>
  <si>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</si>
  <si>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</si>
  <si>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</si>
  <si>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</si>
  <si>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</si>
  <si>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</si>
  <si>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</si>
  <si>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</si>
  <si>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</si>
  <si>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</si>
  <si>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</si>
  <si>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</si>
  <si>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</si>
  <si>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</si>
  <si>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</si>
  <si>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</si>
  <si>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</si>
  <si>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</si>
  <si>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</si>
  <si>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</si>
  <si>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</si>
  <si>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</si>
  <si>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</si>
  <si>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</si>
  <si>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</si>
  <si>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</si>
  <si>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</si>
  <si>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</si>
  <si>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</si>
  <si>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</si>
  <si>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</si>
  <si>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</si>
  <si>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</si>
  <si>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</si>
  <si>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</si>
  <si>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</si>
  <si>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</si>
  <si>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</si>
  <si>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</si>
  <si>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</si>
  <si>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</si>
  <si>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</si>
  <si>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</si>
  <si>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</si>
  <si>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</si>
  <si>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</si>
  <si>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</si>
  <si>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</si>
  <si>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</si>
  <si>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</si>
  <si>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</si>
  <si>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</si>
  <si>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</si>
  <si>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</si>
  <si>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</si>
  <si>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</si>
  <si>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</si>
  <si>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</si>
  <si>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</si>
  <si>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</si>
  <si>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</si>
  <si>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</si>
  <si>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</si>
  <si>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</si>
  <si>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</si>
  <si>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</si>
  <si>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</si>
  <si>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</si>
  <si>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</si>
  <si>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</si>
  <si>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</si>
  <si>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</si>
  <si>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</si>
  <si>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</si>
  <si>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</si>
  <si>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</si>
  <si>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</si>
  <si>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</si>
  <si>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</si>
  <si>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</si>
  <si>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</si>
  <si>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</si>
  <si>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</si>
  <si>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</si>
  <si>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</si>
  <si>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</si>
  <si>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</si>
  <si>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</si>
  <si>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</si>
  <si>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</si>
  <si>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</si>
  <si>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</si>
  <si>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</si>
  <si>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</si>
  <si>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</si>
  <si>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</si>
  <si>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</si>
  <si>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</si>
  <si>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</si>
  <si>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</si>
  <si>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</si>
  <si>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</si>
  <si>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</si>
  <si>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</si>
  <si>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</si>
  <si>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</si>
  <si>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</si>
  <si>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</si>
  <si>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</si>
  <si>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</si>
  <si>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</si>
  <si>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</si>
  <si>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</si>
  <si>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</si>
  <si>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</si>
  <si>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</si>
  <si>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</si>
  <si>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</si>
  <si>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</si>
  <si>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</si>
  <si>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</si>
  <si>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</si>
  <si>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</si>
  <si>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</si>
  <si>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</si>
  <si>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</si>
  <si>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</si>
  <si>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</si>
  <si>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</si>
  <si>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</si>
  <si>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</si>
  <si>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</si>
  <si>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</si>
  <si>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</si>
  <si>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</si>
  <si>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</si>
  <si>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</si>
  <si>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</si>
  <si>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</si>
  <si>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</si>
  <si>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</si>
  <si>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</si>
  <si>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</si>
  <si>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</si>
  <si>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</si>
  <si>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</si>
  <si>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</si>
  <si>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</si>
  <si>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</si>
  <si>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</si>
  <si>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</si>
  <si>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</si>
  <si>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</si>
  <si>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</si>
  <si>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</si>
  <si>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</si>
  <si>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</si>
  <si>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</si>
  <si>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</si>
  <si>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</si>
  <si>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</si>
  <si>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</si>
  <si>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</si>
  <si>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</si>
  <si>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</si>
  <si>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</si>
  <si>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</si>
  <si>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</si>
  <si>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</si>
  <si>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</si>
  <si>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</si>
  <si>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</si>
  <si>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</si>
  <si>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</si>
  <si>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</si>
  <si>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</si>
  <si>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</si>
  <si>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</si>
  <si>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</si>
  <si>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</si>
  <si>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</si>
  <si>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</si>
  <si>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</si>
  <si>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</si>
  <si>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</si>
  <si>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</si>
  <si>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</si>
  <si>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</si>
  <si>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</si>
  <si>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</si>
  <si>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</si>
  <si>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</si>
  <si>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</si>
  <si>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</si>
  <si>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</si>
  <si>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</si>
  <si>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</si>
  <si>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</si>
  <si>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</si>
  <si>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</si>
  <si>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</si>
  <si>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</si>
  <si>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</si>
  <si>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</si>
  <si>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</si>
  <si>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</si>
  <si>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</si>
  <si>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</si>
  <si>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</si>
  <si>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</si>
  <si>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</si>
  <si>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</si>
  <si>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</si>
  <si>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</si>
  <si>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</si>
  <si>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</si>
  <si>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</si>
  <si>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</si>
  <si>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</si>
  <si>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</si>
  <si>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</si>
  <si>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</si>
  <si>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</si>
  <si>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</si>
  <si>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</si>
  <si>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</si>
  <si>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</si>
  <si>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</si>
  <si>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</si>
  <si>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</si>
  <si>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</si>
  <si>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</si>
  <si>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</si>
  <si>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</si>
  <si>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</si>
  <si>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</si>
  <si>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</si>
  <si>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</si>
  <si>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</si>
  <si>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</si>
  <si>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</si>
  <si>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</si>
  <si>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</si>
  <si>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</si>
  <si>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</si>
  <si>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</si>
  <si>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</si>
  <si>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</si>
  <si>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</si>
  <si>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</si>
  <si>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</si>
  <si>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</si>
  <si>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</si>
  <si>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</si>
  <si>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</si>
  <si>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</si>
  <si>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</si>
  <si>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</si>
  <si>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</si>
  <si>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</si>
  <si>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</si>
  <si>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</si>
  <si>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</si>
  <si>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</si>
  <si>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</si>
  <si>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</si>
  <si>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</si>
  <si>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</si>
  <si>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</si>
  <si>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</si>
  <si>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</si>
  <si>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</si>
  <si>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</si>
  <si>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</si>
  <si>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</si>
  <si>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</si>
  <si>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</si>
  <si>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</si>
  <si>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</si>
  <si>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</si>
  <si>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</si>
  <si>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</si>
  <si>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</si>
  <si>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</si>
  <si>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</si>
  <si>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</si>
  <si>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</si>
  <si>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</si>
  <si>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</si>
  <si>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</si>
  <si>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</si>
  <si>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</si>
  <si>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</si>
  <si>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</si>
  <si>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</si>
  <si>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</si>
  <si>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</si>
  <si>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</si>
  <si>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</si>
  <si>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</si>
  <si>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</si>
  <si>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</si>
  <si>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</si>
  <si>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</si>
  <si>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</si>
  <si>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</si>
  <si>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</si>
  <si>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</si>
  <si>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</si>
  <si>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</si>
  <si>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</si>
  <si>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</si>
  <si>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</si>
  <si>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</si>
  <si>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</si>
  <si>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</si>
  <si>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</si>
  <si>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</si>
  <si>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</si>
  <si>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</si>
  <si>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</si>
  <si>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</si>
  <si>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</si>
  <si>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</si>
  <si>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</si>
  <si>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</si>
  <si>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</si>
  <si>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</si>
  <si>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</si>
  <si>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</si>
  <si>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</si>
  <si>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</si>
  <si>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</si>
  <si>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</si>
  <si>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</si>
  <si>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</si>
  <si>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</si>
  <si>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</si>
  <si>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</si>
  <si>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</si>
  <si>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</si>
  <si>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</si>
  <si>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</si>
  <si>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</si>
  <si>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</si>
  <si>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</si>
  <si>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</si>
  <si>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</si>
  <si>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</si>
  <si>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</si>
  <si>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</si>
  <si>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</si>
  <si>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</si>
  <si>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</si>
  <si>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</si>
  <si>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</si>
  <si>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</si>
  <si>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</si>
  <si>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</si>
  <si>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</si>
  <si>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</si>
  <si>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</si>
  <si>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</si>
  <si>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</si>
  <si>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</si>
  <si>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</si>
  <si>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</si>
  <si>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</si>
  <si>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</si>
  <si>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</si>
  <si>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</si>
  <si>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</si>
  <si>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</si>
  <si>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</si>
  <si>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</si>
  <si>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</si>
  <si>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</si>
  <si>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</si>
  <si>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</si>
  <si>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</si>
  <si>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</si>
  <si>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</si>
  <si>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</si>
  <si>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</si>
  <si>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</si>
  <si>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</si>
  <si>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</si>
  <si>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</si>
  <si>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</si>
  <si>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</si>
  <si>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</si>
  <si>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</si>
  <si>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</si>
  <si>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</si>
  <si>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</si>
  <si>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</si>
  <si>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</si>
  <si>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</si>
  <si>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</si>
  <si>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</si>
  <si>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</si>
  <si>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</si>
  <si>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</si>
  <si>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</si>
  <si>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</si>
  <si>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</si>
  <si>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</si>
  <si>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</si>
  <si>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</si>
  <si>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</si>
  <si>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</si>
  <si>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</si>
  <si>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</si>
  <si>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</si>
  <si>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</si>
  <si>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</si>
  <si>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</si>
  <si>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</si>
  <si>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</si>
  <si>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</si>
  <si>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</si>
  <si>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</si>
  <si>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</si>
  <si>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</si>
  <si>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</si>
  <si>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</si>
  <si>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</si>
  <si>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</si>
  <si>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</si>
  <si>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</si>
  <si>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</si>
  <si>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</si>
  <si>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</si>
  <si>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</si>
  <si>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</si>
  <si>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</si>
  <si>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</si>
  <si>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</si>
  <si>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</si>
  <si>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</si>
  <si>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</si>
  <si>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</si>
  <si>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</si>
  <si>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</si>
  <si>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</si>
  <si>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</si>
  <si>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</si>
  <si>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</si>
  <si>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</si>
  <si>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</si>
  <si>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</si>
  <si>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</si>
  <si>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</si>
  <si>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</si>
  <si>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</si>
  <si>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</si>
  <si>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</si>
  <si>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</si>
  <si>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</si>
  <si>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</si>
  <si>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</si>
  <si>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</si>
  <si>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</si>
  <si>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</si>
  <si>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</si>
  <si>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</si>
  <si>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</si>
  <si>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</si>
  <si>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</si>
  <si>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</si>
  <si>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</si>
  <si>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</si>
  <si>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</si>
  <si>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</si>
  <si>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</si>
  <si>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</si>
  <si>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</si>
  <si>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</si>
  <si>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</si>
  <si>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</si>
  <si>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</si>
  <si>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</si>
  <si>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</si>
  <si>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</si>
  <si>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</si>
  <si>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</si>
  <si>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</si>
  <si>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</si>
  <si>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</si>
  <si>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</si>
  <si>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</si>
  <si>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</si>
  <si>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</si>
  <si>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</si>
  <si>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</si>
  <si>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</si>
  <si>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</si>
  <si>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</si>
  <si>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</si>
  <si>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</si>
  <si>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</si>
  <si>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</si>
  <si>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</si>
  <si>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</si>
  <si>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</si>
  <si>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</si>
  <si>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</si>
  <si>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</si>
  <si>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</si>
  <si>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</si>
  <si>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</si>
  <si>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</si>
  <si>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</si>
  <si>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</si>
  <si>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</si>
  <si>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</si>
  <si>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</si>
  <si>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</si>
  <si>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</si>
  <si>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</si>
  <si>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</si>
  <si>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</si>
  <si>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</si>
  <si>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</si>
  <si>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</si>
  <si>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</si>
  <si>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</si>
  <si>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</si>
  <si>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</si>
  <si>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</si>
  <si>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</si>
  <si>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</si>
  <si>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</si>
  <si>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</si>
  <si>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</si>
  <si>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</si>
  <si>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</si>
  <si>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</si>
  <si>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</si>
  <si>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</si>
  <si>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</si>
  <si>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</si>
  <si>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</si>
  <si>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</si>
  <si>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</si>
  <si>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</si>
  <si>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</si>
  <si>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</si>
  <si>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</si>
  <si>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</si>
  <si>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</si>
  <si>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</si>
  <si>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</si>
  <si>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</si>
  <si>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</si>
  <si>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</si>
  <si>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</si>
  <si>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</si>
  <si>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</si>
  <si>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</si>
  <si>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</si>
  <si>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</si>
  <si>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</si>
  <si>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</si>
  <si>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</si>
  <si>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</si>
  <si>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</si>
  <si>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</si>
  <si>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</si>
  <si>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</si>
  <si>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</si>
  <si>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</si>
  <si>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</si>
  <si>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</si>
  <si>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</si>
  <si>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</si>
  <si>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</si>
  <si>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</si>
  <si>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</si>
  <si>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</si>
  <si>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</si>
  <si>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</si>
  <si>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</si>
  <si>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</si>
  <si>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</si>
  <si>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</si>
  <si>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</si>
  <si>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</si>
  <si>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</si>
  <si>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</si>
  <si>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</si>
  <si>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</si>
  <si>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</si>
  <si>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</si>
  <si>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</si>
  <si>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</si>
  <si>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</si>
  <si>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</si>
  <si>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</si>
  <si>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</si>
  <si>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</si>
  <si>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</si>
  <si>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</si>
  <si>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</si>
  <si>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</si>
  <si>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</si>
  <si>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</si>
  <si>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</si>
  <si>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</si>
  <si>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</si>
  <si>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</si>
  <si>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</si>
  <si>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</si>
  <si>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</si>
  <si>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</si>
  <si>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</si>
  <si>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</si>
  <si>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</si>
  <si>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</si>
  <si>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</si>
  <si>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</si>
  <si>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</si>
  <si>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</si>
  <si>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</si>
  <si>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</si>
  <si>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</si>
  <si>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</si>
  <si>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</si>
  <si>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</si>
  <si>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</si>
  <si>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</si>
  <si>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</si>
  <si>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</si>
  <si>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</si>
  <si>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</si>
  <si>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</si>
  <si>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</si>
  <si>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</si>
  <si>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</si>
  <si>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</si>
  <si>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</si>
  <si>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</si>
  <si>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</si>
  <si>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</si>
  <si>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</si>
  <si>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</si>
  <si>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</si>
  <si>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</si>
  <si>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</si>
  <si>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</si>
  <si>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</si>
  <si>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</si>
  <si>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</si>
  <si>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</si>
  <si>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</si>
  <si>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</si>
  <si>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</si>
  <si>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</si>
  <si>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</si>
  <si>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</si>
  <si>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</si>
  <si>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</si>
  <si>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</si>
  <si>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</si>
  <si>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</si>
  <si>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</si>
  <si>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</si>
  <si>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</si>
  <si>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</si>
  <si>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</si>
  <si>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</si>
  <si>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</si>
  <si>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</si>
  <si>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</si>
  <si>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</si>
  <si>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</si>
  <si>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</si>
  <si>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</si>
  <si>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</si>
  <si>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</si>
  <si>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</si>
  <si>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</si>
  <si>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</si>
  <si>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</si>
  <si>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</si>
  <si>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</si>
  <si>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</si>
  <si>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</si>
  <si>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</si>
  <si>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</si>
  <si>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</si>
  <si>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</si>
  <si>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</si>
  <si>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</si>
  <si>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</si>
  <si>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</si>
  <si>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</si>
  <si>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</si>
  <si>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</si>
  <si>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</si>
  <si>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</si>
  <si>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</si>
  <si>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</si>
  <si>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</si>
  <si>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</si>
  <si>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</si>
  <si>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</si>
  <si>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</si>
  <si>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</si>
  <si>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</si>
  <si>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</si>
  <si>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</si>
  <si>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</si>
  <si>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</si>
  <si>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</si>
  <si>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</si>
  <si>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</si>
  <si>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</si>
  <si>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</si>
  <si>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</si>
  <si>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</si>
  <si>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</si>
  <si>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</si>
  <si>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</si>
  <si>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</si>
  <si>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</si>
  <si>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</si>
  <si>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</si>
  <si>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</si>
  <si>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</si>
  <si>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</si>
  <si>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</si>
  <si>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</si>
  <si>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</si>
  <si>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</si>
  <si>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</si>
  <si>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</si>
  <si>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</si>
  <si>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</si>
  <si>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</si>
  <si>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</si>
  <si>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</si>
  <si>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</si>
  <si>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</si>
  <si>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</si>
  <si>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</si>
  <si>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</si>
  <si>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</si>
  <si>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</si>
  <si>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</si>
  <si>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</si>
  <si>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</si>
  <si>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</si>
  <si>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</si>
  <si>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</si>
  <si>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</si>
  <si>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</si>
  <si>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</si>
  <si>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</si>
  <si>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</si>
  <si>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</si>
  <si>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</si>
  <si>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</si>
  <si>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</si>
  <si>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</si>
  <si>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</si>
  <si>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</si>
  <si>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</si>
  <si>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</si>
  <si>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</si>
  <si>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</si>
  <si>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</si>
  <si>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</si>
  <si>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</si>
  <si>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</si>
  <si>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</si>
  <si>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</si>
  <si>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</si>
  <si>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</si>
  <si>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</si>
  <si>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</si>
  <si>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</si>
  <si>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</si>
  <si>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</si>
  <si>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</si>
  <si>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</si>
  <si>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</si>
  <si>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</si>
  <si>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</si>
  <si>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</si>
  <si>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</si>
  <si>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</si>
  <si>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</si>
  <si>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</si>
  <si>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</si>
  <si>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</si>
  <si>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</si>
  <si>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</si>
  <si>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</si>
  <si>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</si>
  <si>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</si>
  <si>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</si>
  <si>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</si>
  <si>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</si>
  <si>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</si>
  <si>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</si>
  <si>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</si>
  <si>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</si>
  <si>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</si>
  <si>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</si>
  <si>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</si>
  <si>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</si>
  <si>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</si>
  <si>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</si>
  <si>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</si>
  <si>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</si>
  <si>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</si>
  <si>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</si>
  <si>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</si>
  <si>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</si>
  <si>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</si>
  <si>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</si>
  <si>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</si>
  <si>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</si>
  <si>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</si>
  <si>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</si>
  <si>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</si>
  <si>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</si>
  <si>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</si>
  <si>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</si>
  <si>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</si>
  <si>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</si>
  <si>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</si>
  <si>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</si>
  <si>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</si>
  <si>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</si>
  <si>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</si>
  <si>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</si>
  <si>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</si>
  <si>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</si>
  <si>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</si>
  <si>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</si>
  <si>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</si>
  <si>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</si>
  <si>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</si>
  <si>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</si>
  <si>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</si>
  <si>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</si>
  <si>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</si>
  <si>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</si>
  <si>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</si>
  <si>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</si>
  <si>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</si>
  <si>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</si>
  <si>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</si>
  <si>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</si>
  <si>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</si>
  <si>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</si>
  <si>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</si>
  <si>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</si>
  <si>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</si>
  <si>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</si>
  <si>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</si>
  <si>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</si>
  <si>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</si>
  <si>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</si>
  <si>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</si>
  <si>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</si>
  <si>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</si>
  <si>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</si>
  <si>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</si>
  <si>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</si>
  <si>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</si>
  <si>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</si>
  <si>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</si>
  <si>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</si>
  <si>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</si>
  <si>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</si>
  <si>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</si>
  <si>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</si>
  <si>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</si>
  <si>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</si>
  <si>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</si>
  <si>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</si>
  <si>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</si>
  <si>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</si>
  <si>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</si>
  <si>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</si>
  <si>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</si>
  <si>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</si>
  <si>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</si>
  <si>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</si>
  <si>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</si>
  <si>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</si>
  <si>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</si>
  <si>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</si>
  <si>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</si>
  <si>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</si>
  <si>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</si>
  <si>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</si>
  <si>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</si>
  <si>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</si>
  <si>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</si>
  <si>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</si>
  <si>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</si>
  <si>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</si>
  <si>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</si>
  <si>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</si>
  <si>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</si>
  <si>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</si>
  <si>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</si>
  <si>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</si>
  <si>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</si>
  <si>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</si>
  <si>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</si>
  <si>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</si>
  <si>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</si>
  <si>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</si>
  <si>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</si>
  <si>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</si>
  <si>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</si>
  <si>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</si>
  <si>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</si>
  <si>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</si>
  <si>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</si>
  <si>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</si>
  <si>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</si>
  <si>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</si>
  <si>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</si>
  <si>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</si>
  <si>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</si>
  <si>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</si>
  <si>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</si>
  <si>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</si>
  <si>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</si>
  <si>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</si>
  <si>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</si>
  <si>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</si>
  <si>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</si>
  <si>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</si>
  <si>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</si>
  <si>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</si>
  <si>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</si>
  <si>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</si>
  <si>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</si>
  <si>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</si>
  <si>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</si>
  <si>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</si>
  <si>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</si>
  <si>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</si>
  <si>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</si>
  <si>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</si>
  <si>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</si>
  <si>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</si>
  <si>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</si>
  <si>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</si>
  <si>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</si>
  <si>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</si>
  <si>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</si>
  <si>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</si>
  <si>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</si>
  <si>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</si>
  <si>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</si>
  <si>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</si>
  <si>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</si>
  <si>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</si>
  <si>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</si>
  <si>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</si>
  <si>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</si>
  <si>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</si>
  <si>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</si>
  <si>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</si>
  <si>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</si>
  <si>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</si>
  <si>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</si>
  <si>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</si>
  <si>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</si>
  <si>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</si>
  <si>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</si>
  <si>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</si>
  <si>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</si>
  <si>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</si>
  <si>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</si>
  <si>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</si>
  <si>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</si>
  <si>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</si>
  <si>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</si>
  <si>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</si>
  <si>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</si>
  <si>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</si>
  <si>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</si>
  <si>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</si>
  <si>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</si>
  <si>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</si>
  <si>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</si>
  <si>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</si>
  <si>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</si>
  <si>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</si>
  <si>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</si>
  <si>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</si>
  <si>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</si>
  <si>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</si>
  <si>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</si>
  <si>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</si>
  <si>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</si>
  <si>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</si>
  <si>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</si>
  <si>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</si>
  <si>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</si>
  <si>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</si>
  <si>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</si>
  <si>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</si>
  <si>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</si>
  <si>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</si>
  <si>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</si>
  <si>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</si>
  <si>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</si>
  <si>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</si>
  <si>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</si>
  <si>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</si>
  <si>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</si>
  <si>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</si>
  <si>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</si>
  <si>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</si>
  <si>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</si>
  <si>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</si>
  <si>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</si>
  <si>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</si>
  <si>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</si>
  <si>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</si>
  <si>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</si>
  <si>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</si>
  <si>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</si>
  <si>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</si>
  <si>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</si>
  <si>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</si>
  <si>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</si>
  <si>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</si>
  <si>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</si>
  <si>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</si>
  <si>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</si>
  <si>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</si>
  <si>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</si>
  <si>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</si>
  <si>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</si>
  <si>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</si>
  <si>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</si>
  <si>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</si>
  <si>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</si>
  <si>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</si>
  <si>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</si>
  <si>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</si>
  <si>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</si>
  <si>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</si>
  <si>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</si>
  <si>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</si>
  <si>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</si>
  <si>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</si>
  <si>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</si>
  <si>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</si>
  <si>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</si>
  <si>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</si>
  <si>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</si>
  <si>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</si>
  <si>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</si>
  <si>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</si>
  <si>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</si>
  <si>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</si>
  <si>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</si>
  <si>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</si>
  <si>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</si>
  <si>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</si>
  <si>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</si>
  <si>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</si>
  <si>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</si>
  <si>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</si>
  <si>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</si>
  <si>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</si>
  <si>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</si>
  <si>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</si>
  <si>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</si>
  <si>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</si>
  <si>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</si>
  <si>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</si>
  <si>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</si>
  <si>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</si>
  <si>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</si>
  <si>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</si>
  <si>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</si>
  <si>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</si>
  <si>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</si>
  <si>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</si>
  <si>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</si>
  <si>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</si>
  <si>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</si>
  <si>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</si>
  <si>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</si>
  <si>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</si>
  <si>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</si>
  <si>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</si>
  <si>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</si>
  <si>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</si>
  <si>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</si>
  <si>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</si>
  <si>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</si>
  <si>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</si>
  <si>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</si>
  <si>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</si>
  <si>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</si>
  <si>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</si>
  <si>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</si>
  <si>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</si>
  <si>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</si>
  <si>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</si>
  <si>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</si>
  <si>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</si>
  <si>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</si>
  <si>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</si>
  <si>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</si>
  <si>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</si>
  <si>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</si>
  <si>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</si>
  <si>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</si>
  <si>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</si>
  <si>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</si>
  <si>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</si>
  <si>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</si>
  <si>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</si>
  <si>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</si>
  <si>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</si>
  <si>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</si>
  <si>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</si>
  <si>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</si>
  <si>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</si>
  <si>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</si>
  <si>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</si>
  <si>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</si>
  <si>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</si>
  <si>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</si>
  <si>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</si>
  <si>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</si>
  <si>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</si>
  <si>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</si>
  <si>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</si>
  <si>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</si>
  <si>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</si>
  <si>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</si>
  <si>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</si>
  <si>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</si>
  <si>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</si>
  <si>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</si>
  <si>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</si>
  <si>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</si>
  <si>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</si>
  <si>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</si>
  <si>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</si>
  <si>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</si>
  <si>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</si>
  <si>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</si>
  <si>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</si>
  <si>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</si>
  <si>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</si>
  <si>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</si>
  <si>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</si>
  <si>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</si>
  <si>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</si>
  <si>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</si>
  <si>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</si>
  <si>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</si>
  <si>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</si>
  <si>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</si>
  <si>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</si>
  <si>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</si>
  <si>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</si>
  <si>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</si>
  <si>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</si>
  <si>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</si>
  <si>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</si>
  <si>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</si>
  <si>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</si>
  <si>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</si>
  <si>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</si>
  <si>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</si>
  <si>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</si>
  <si>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</si>
  <si>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</si>
  <si>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</si>
  <si>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</si>
  <si>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</si>
  <si>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</si>
  <si>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</si>
  <si>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</si>
  <si>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</si>
  <si>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</si>
  <si>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</si>
  <si>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</si>
  <si>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</si>
  <si>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</si>
  <si>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</si>
  <si>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</si>
  <si>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</si>
  <si>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</si>
  <si>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</si>
  <si>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</si>
  <si>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</si>
  <si>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</si>
  <si>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</si>
  <si>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</si>
  <si>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</si>
  <si>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</si>
  <si>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</si>
  <si>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</si>
  <si>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</si>
  <si>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</si>
  <si>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</si>
  <si>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</si>
  <si>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</si>
  <si>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</si>
  <si>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</si>
  <si>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</si>
  <si>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</si>
  <si>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</si>
  <si>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</si>
  <si>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</si>
  <si>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</si>
  <si>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</si>
  <si>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</si>
  <si>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</si>
  <si>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</si>
  <si>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</si>
  <si>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</si>
  <si>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</si>
  <si>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</si>
  <si>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</si>
  <si>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</si>
  <si>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</si>
  <si>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</si>
  <si>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</si>
  <si>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</si>
  <si>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</si>
  <si>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</si>
  <si>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</si>
  <si>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</si>
  <si>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</si>
  <si>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</si>
  <si>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</si>
  <si>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</si>
  <si>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</si>
  <si>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</si>
  <si>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</si>
  <si>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</si>
  <si>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</si>
  <si>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</si>
  <si>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</si>
  <si>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</si>
  <si>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</si>
  <si>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</si>
  <si>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</si>
  <si>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</si>
  <si>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</si>
  <si>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</si>
  <si>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</si>
  <si>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</si>
  <si>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</si>
  <si>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</si>
  <si>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</si>
  <si>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</si>
  <si>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</si>
  <si>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</si>
  <si>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</si>
  <si>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</si>
  <si>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</si>
  <si>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</si>
  <si>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</si>
  <si>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</si>
  <si>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</si>
  <si>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</si>
  <si>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</si>
  <si>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</si>
  <si>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</si>
  <si>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</si>
  <si>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</si>
  <si>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</si>
  <si>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</si>
  <si>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</si>
  <si>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</si>
  <si>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</si>
  <si>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</si>
  <si>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</si>
  <si>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</si>
  <si>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</si>
  <si>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</si>
  <si>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</si>
  <si>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</si>
  <si>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</si>
  <si>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</si>
  <si>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</si>
  <si>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</si>
  <si>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</si>
  <si>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</si>
  <si>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</si>
  <si>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</si>
  <si>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</si>
  <si>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</si>
  <si>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</si>
  <si>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</si>
  <si>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</si>
  <si>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</si>
  <si>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</si>
  <si>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</si>
  <si>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</si>
  <si>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</si>
  <si>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</si>
  <si>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</si>
  <si>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</si>
  <si>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</si>
  <si>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</si>
  <si>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</si>
  <si>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</si>
  <si>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</si>
  <si>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</si>
  <si>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</si>
  <si>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</si>
  <si>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</si>
  <si>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</si>
  <si>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</si>
  <si>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</si>
  <si>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</si>
  <si>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</si>
  <si>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</si>
  <si>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</si>
  <si>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</si>
  <si>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</si>
  <si>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</si>
  <si>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</si>
  <si>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</si>
  <si>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</si>
  <si>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</si>
  <si>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</si>
  <si>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</si>
  <si>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</si>
  <si>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</si>
  <si>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</si>
  <si>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</si>
  <si>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</si>
  <si>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</si>
  <si>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</si>
  <si>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</si>
  <si>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</si>
  <si>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</si>
  <si>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</si>
  <si>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</si>
  <si>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</si>
  <si>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</si>
  <si>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</si>
  <si>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</si>
  <si>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</si>
  <si>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</si>
  <si>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</si>
  <si>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</si>
  <si>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</si>
  <si>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</si>
  <si>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</si>
  <si>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</si>
  <si>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</si>
  <si>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</si>
  <si>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</si>
  <si>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</si>
  <si>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</si>
  <si>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</si>
  <si>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</si>
  <si>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</si>
  <si>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</si>
  <si>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</si>
  <si>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</si>
  <si>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</si>
  <si>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</si>
  <si>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</si>
  <si>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</si>
  <si>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</si>
  <si>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</si>
  <si>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</si>
  <si>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</si>
  <si>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</si>
  <si>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</si>
  <si>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</si>
  <si>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</si>
  <si>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</si>
  <si>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</si>
  <si>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</si>
  <si>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</si>
  <si>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</si>
  <si>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</si>
  <si>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</si>
  <si>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</si>
  <si>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</si>
  <si>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</si>
  <si>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</si>
  <si>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</si>
  <si>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</si>
  <si>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</si>
  <si>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</si>
  <si>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</si>
  <si>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</si>
  <si>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</si>
  <si>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</si>
  <si>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</si>
  <si>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</si>
  <si>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</si>
  <si>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</si>
  <si>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</si>
  <si>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</si>
  <si>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</si>
  <si>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</si>
  <si>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</si>
  <si>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</si>
  <si>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</si>
  <si>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</si>
  <si>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</si>
  <si>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</si>
  <si>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</si>
  <si>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</si>
  <si>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</si>
  <si>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</si>
  <si>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</si>
  <si>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</si>
  <si>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</si>
  <si>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</si>
  <si>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</si>
  <si>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</si>
  <si>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</si>
  <si>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</si>
  <si>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</si>
  <si>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</si>
  <si>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</si>
  <si>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</si>
  <si>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</si>
  <si>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</si>
  <si>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</si>
  <si>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</si>
  <si>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</si>
  <si>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</si>
  <si>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</si>
  <si>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</si>
  <si>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</si>
  <si>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</si>
  <si>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</si>
  <si>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</si>
  <si>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</si>
  <si>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</si>
  <si>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</si>
  <si>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</si>
  <si>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</si>
  <si>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</si>
  <si>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</si>
  <si>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</si>
  <si>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</si>
  <si>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</si>
  <si>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</si>
  <si>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</si>
  <si>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</si>
  <si>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</si>
  <si>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</si>
  <si>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</si>
  <si>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</si>
  <si>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</si>
  <si>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</si>
  <si>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</si>
  <si>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</si>
  <si>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</si>
  <si>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</si>
  <si>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</si>
  <si>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</si>
  <si>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</si>
  <si>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</si>
  <si>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</si>
  <si>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</si>
  <si>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</si>
  <si>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</si>
  <si>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</si>
  <si>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</si>
  <si>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</si>
  <si>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</si>
  <si>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</si>
  <si>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</si>
  <si>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</si>
  <si>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</si>
  <si>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</si>
  <si>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</si>
  <si>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</si>
  <si>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</si>
  <si>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</si>
  <si>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</si>
  <si>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</si>
  <si>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</si>
  <si>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</si>
  <si>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</si>
  <si>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</si>
  <si>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</si>
  <si>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</si>
  <si>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</si>
  <si>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</si>
  <si>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</si>
  <si>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</si>
  <si>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</si>
  <si>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</si>
  <si>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</si>
  <si>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</si>
  <si>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</si>
  <si>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</si>
  <si>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</si>
  <si>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</si>
  <si>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</si>
  <si>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</si>
  <si>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</si>
  <si>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</si>
  <si>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</si>
  <si>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</si>
  <si>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</si>
  <si>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</si>
  <si>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</si>
  <si>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</si>
  <si>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</si>
  <si>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</si>
  <si>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</si>
  <si>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</si>
  <si>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</si>
  <si>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</si>
  <si>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</si>
  <si>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</si>
  <si>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</si>
  <si>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</si>
  <si>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</si>
  <si>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</si>
  <si>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</si>
  <si>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</si>
  <si>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</si>
  <si>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</si>
  <si>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</si>
  <si>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</si>
  <si>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</si>
  <si>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</si>
  <si>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</si>
  <si>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</si>
  <si>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</si>
  <si>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</si>
  <si>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</si>
  <si>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</si>
  <si>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</si>
  <si>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</si>
  <si>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</si>
  <si>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</si>
  <si>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</si>
  <si>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</si>
  <si>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</si>
  <si>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</si>
  <si>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</si>
  <si>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</si>
  <si>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</si>
  <si>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</si>
  <si>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</si>
  <si>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</si>
  <si>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</si>
  <si>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</si>
  <si>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</si>
  <si>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</si>
  <si>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</si>
  <si>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</si>
  <si>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</si>
  <si>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</si>
  <si>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</si>
  <si>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</si>
  <si>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</si>
  <si>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</si>
  <si>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</si>
  <si>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</si>
  <si>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</si>
  <si>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</si>
  <si>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</si>
  <si>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</si>
  <si>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</si>
  <si>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</si>
  <si>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</si>
  <si>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</si>
  <si>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</si>
  <si>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</si>
  <si>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</si>
  <si>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</si>
  <si>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</si>
  <si>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</si>
  <si>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</si>
  <si>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</si>
  <si>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</si>
  <si>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</si>
  <si>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</si>
  <si>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</si>
  <si>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</si>
  <si>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</si>
  <si>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</si>
  <si>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</si>
  <si>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</si>
  <si>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</si>
  <si>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</si>
  <si>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</si>
  <si>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</si>
  <si>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</si>
  <si>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</si>
  <si>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</si>
  <si>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</si>
  <si>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</si>
  <si>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</si>
  <si>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</si>
  <si>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</si>
  <si>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</si>
  <si>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</si>
  <si>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</si>
  <si>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</si>
  <si>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</si>
  <si>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</si>
  <si>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</si>
  <si>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</si>
  <si>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</si>
  <si>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</si>
  <si>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</si>
  <si>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</si>
  <si>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</si>
  <si>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</si>
  <si>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</si>
  <si>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</si>
  <si>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</si>
  <si>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</si>
  <si>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</si>
  <si>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</si>
  <si>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</si>
  <si>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</si>
  <si>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</si>
  <si>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</si>
  <si>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</si>
  <si>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</si>
  <si>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</si>
  <si>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</si>
  <si>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</si>
  <si>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</si>
  <si>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</si>
  <si>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</si>
  <si>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</si>
  <si>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</si>
  <si>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</si>
  <si>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</si>
  <si>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</si>
  <si>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</si>
  <si>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</si>
  <si>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</si>
  <si>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</si>
  <si>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</si>
  <si>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</si>
  <si>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</si>
  <si>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</si>
  <si>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</si>
  <si>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</si>
  <si>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</si>
  <si>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</si>
  <si>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</si>
  <si>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</si>
  <si>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</si>
  <si>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</si>
  <si>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</si>
  <si>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</si>
  <si>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</si>
  <si>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</si>
  <si>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</si>
  <si>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</si>
  <si>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</si>
  <si>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</si>
  <si>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</si>
  <si>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</si>
  <si>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</si>
  <si>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</si>
  <si>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</si>
  <si>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</si>
  <si>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</si>
  <si>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</si>
  <si>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</si>
  <si>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</si>
  <si>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</si>
  <si>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</si>
  <si>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</si>
  <si>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</si>
  <si>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</si>
  <si>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</si>
  <si>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</si>
  <si>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</si>
  <si>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</si>
  <si>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</si>
  <si>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</si>
  <si>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</si>
  <si>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</si>
  <si>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</si>
  <si>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</si>
  <si>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</si>
  <si>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</si>
  <si>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</si>
  <si>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</si>
  <si>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</si>
  <si>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</si>
  <si>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</si>
  <si>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</si>
  <si>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</si>
  <si>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</si>
  <si>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</si>
  <si>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</si>
  <si>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</si>
  <si>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</si>
  <si>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</si>
  <si>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</si>
  <si>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</si>
  <si>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</si>
  <si>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</si>
  <si>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</si>
  <si>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</si>
  <si>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</si>
  <si>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</si>
  <si>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</si>
  <si>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</si>
  <si>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</si>
  <si>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</si>
  <si>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</si>
  <si>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</si>
  <si>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</si>
  <si>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</si>
  <si>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</si>
  <si>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</si>
  <si>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</si>
  <si>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</si>
  <si>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</si>
  <si>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</si>
  <si>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</si>
  <si>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</si>
  <si>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</si>
  <si>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</si>
  <si>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</si>
  <si>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</si>
  <si>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</si>
  <si>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</si>
  <si>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</si>
  <si>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</si>
  <si>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</si>
  <si>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</si>
  <si>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</si>
  <si>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</si>
  <si>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</si>
  <si>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</si>
  <si>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</si>
  <si>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</si>
  <si>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</si>
  <si>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</si>
  <si>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</si>
  <si>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</si>
  <si>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</si>
  <si>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</si>
  <si>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</si>
  <si>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</si>
  <si>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</si>
  <si>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</si>
  <si>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</si>
  <si>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</si>
  <si>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</si>
  <si>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</si>
  <si>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</si>
  <si>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</si>
  <si>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</si>
  <si>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</si>
  <si>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</si>
  <si>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</si>
  <si>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</si>
  <si>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</si>
  <si>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</si>
  <si>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</si>
  <si>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</si>
  <si>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</si>
  <si>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</si>
  <si>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</si>
  <si>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</si>
  <si>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</si>
  <si>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</si>
  <si>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</si>
  <si>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</si>
  <si>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</si>
  <si>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</si>
  <si>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</si>
  <si>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</si>
  <si>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</si>
  <si>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</si>
  <si>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</si>
  <si>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</si>
  <si>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</si>
  <si>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</si>
  <si>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</si>
  <si>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</si>
  <si>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</si>
  <si>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</si>
  <si>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</si>
  <si>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</si>
  <si>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</si>
  <si>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</si>
  <si>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</si>
  <si>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</si>
  <si>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</si>
  <si>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</si>
  <si>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</si>
  <si>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</si>
  <si>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</si>
  <si>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</si>
  <si>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</si>
  <si>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</si>
  <si>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</si>
  <si>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</si>
  <si>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</si>
  <si>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</si>
  <si>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</si>
  <si>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</si>
  <si>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</si>
  <si>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</si>
  <si>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</si>
  <si>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</si>
  <si>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</si>
  <si>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</si>
  <si>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</si>
  <si>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</si>
  <si>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</si>
  <si>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</si>
  <si>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</si>
  <si>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</si>
  <si>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</si>
  <si>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</si>
  <si>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</si>
  <si>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</si>
  <si>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</si>
  <si>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</si>
  <si>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</si>
  <si>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</si>
  <si>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</si>
  <si>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</si>
  <si>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</si>
  <si>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</si>
  <si>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</si>
  <si>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</si>
  <si>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</si>
  <si>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</si>
  <si>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</si>
  <si>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</si>
  <si>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</si>
  <si>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</si>
  <si>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</si>
  <si>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</si>
  <si>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</si>
  <si>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</si>
  <si>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</si>
  <si>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</si>
  <si>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</si>
  <si>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</si>
  <si>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</si>
  <si>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</si>
  <si>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</si>
  <si>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</si>
  <si>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</si>
  <si>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</si>
  <si>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</si>
  <si>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</si>
  <si>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</si>
  <si>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</si>
  <si>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</si>
  <si>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</si>
  <si>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</si>
  <si>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</si>
  <si>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</si>
  <si>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</si>
  <si>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</si>
  <si>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</si>
  <si>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</si>
  <si>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</si>
  <si>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</si>
  <si>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</si>
  <si>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</si>
  <si>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</si>
  <si>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</si>
  <si>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</si>
  <si>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</si>
  <si>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</si>
  <si>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</si>
  <si>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</si>
  <si>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</si>
  <si>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</si>
  <si>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</si>
  <si>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</si>
  <si>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</si>
  <si>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</si>
  <si>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</si>
  <si>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</si>
  <si>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</si>
  <si>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</si>
  <si>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</si>
  <si>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</si>
  <si>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</si>
  <si>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</si>
  <si>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</si>
  <si>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</si>
  <si>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</si>
  <si>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</si>
  <si>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</si>
  <si>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</si>
  <si>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</si>
  <si>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</si>
  <si>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</si>
  <si>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</si>
  <si>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</si>
  <si>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</si>
  <si>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</si>
  <si>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</si>
  <si>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</si>
  <si>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</si>
  <si>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</si>
  <si>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</si>
  <si>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</si>
  <si>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</si>
  <si>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</si>
  <si>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</si>
  <si>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</si>
  <si>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</si>
  <si>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</si>
  <si>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</si>
  <si>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Aurélia Marquis Jason Crebassa</t>
  </si>
  <si>
    <t>NEWCOD</t>
  </si>
  <si>
    <t>ATTENTION : écart entre rec. par grp (0 %) et</t>
  </si>
  <si>
    <t>fort</t>
  </si>
  <si>
    <t>Robustesse:</t>
  </si>
  <si>
    <t>(fort)</t>
  </si>
  <si>
    <t>RCS LR 2013</t>
  </si>
  <si>
    <t>Paspalum distichum</t>
  </si>
  <si>
    <t>Rorippa sylvestris</t>
  </si>
  <si>
    <t>Fragilaria sp.</t>
  </si>
  <si>
    <t>Xanthium sp.</t>
  </si>
  <si>
    <t>Komvophoron sp.</t>
  </si>
  <si>
    <t>Gard</t>
  </si>
  <si>
    <t>Remoulins</t>
  </si>
  <si>
    <t>06130500</t>
  </si>
  <si>
    <t xml:space="preserve"> rec. par taxa (71,2643 %)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</si>
</sst>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75" fillId="37"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5.emf" /><Relationship Id="rId3" Type="http://schemas.openxmlformats.org/officeDocument/2006/relationships/image" Target="../media/image9.emf" /><Relationship Id="rId4" Type="http://schemas.openxmlformats.org/officeDocument/2006/relationships/image" Target="../media/image17.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8.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2.emf" /><Relationship Id="rId3" Type="http://schemas.openxmlformats.org/officeDocument/2006/relationships/image" Target="../media/image46.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27.emf" /><Relationship Id="rId3" Type="http://schemas.openxmlformats.org/officeDocument/2006/relationships/image" Target="../media/image34.emf" /><Relationship Id="rId4" Type="http://schemas.openxmlformats.org/officeDocument/2006/relationships/image" Target="../media/image29.emf" /><Relationship Id="rId5" Type="http://schemas.openxmlformats.org/officeDocument/2006/relationships/image" Target="../media/image26.emf" /><Relationship Id="rId6" Type="http://schemas.openxmlformats.org/officeDocument/2006/relationships/image" Target="../media/image19.emf" /><Relationship Id="rId7" Type="http://schemas.openxmlformats.org/officeDocument/2006/relationships/image" Target="../media/image7.emf" /><Relationship Id="rId8" Type="http://schemas.openxmlformats.org/officeDocument/2006/relationships/image" Target="../media/image30.emf" /><Relationship Id="rId9" Type="http://schemas.openxmlformats.org/officeDocument/2006/relationships/image" Target="../media/image25.emf" /><Relationship Id="rId10" Type="http://schemas.openxmlformats.org/officeDocument/2006/relationships/image" Target="../media/image21.emf" /><Relationship Id="rId11" Type="http://schemas.openxmlformats.org/officeDocument/2006/relationships/image" Target="../media/image20.emf" /><Relationship Id="rId12" Type="http://schemas.openxmlformats.org/officeDocument/2006/relationships/image" Target="../media/image16.emf" /><Relationship Id="rId13" Type="http://schemas.openxmlformats.org/officeDocument/2006/relationships/image" Target="../media/image32.emf" /><Relationship Id="rId14"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8.emf" /><Relationship Id="rId3" Type="http://schemas.openxmlformats.org/officeDocument/2006/relationships/image" Target="../media/image28.emf" /><Relationship Id="rId4" Type="http://schemas.openxmlformats.org/officeDocument/2006/relationships/image" Target="../media/image23.emf" /><Relationship Id="rId5" Type="http://schemas.openxmlformats.org/officeDocument/2006/relationships/image" Target="../media/image13.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5.emf" /><Relationship Id="rId9" Type="http://schemas.openxmlformats.org/officeDocument/2006/relationships/image" Target="../media/image39.emf" /><Relationship Id="rId10" Type="http://schemas.openxmlformats.org/officeDocument/2006/relationships/image" Target="../media/image12.emf" /><Relationship Id="rId11" Type="http://schemas.openxmlformats.org/officeDocument/2006/relationships/image" Target="../media/image37.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7</xdr:col>
      <xdr:colOff>428625</xdr:colOff>
      <xdr:row>38</xdr:row>
      <xdr:rowOff>66675</xdr:rowOff>
    </xdr:to>
    <xdr:sp>
      <xdr:nvSpPr>
        <xdr:cNvPr id="1" name="Text Box 1"/>
        <xdr:cNvSpPr txBox="1">
          <a:spLocks noChangeArrowheads="1"/>
        </xdr:cNvSpPr>
      </xdr:nvSpPr>
      <xdr:spPr>
        <a:xfrm>
          <a:off x="123825" y="5905500"/>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210800"/>
          <a:ext cx="1476375" cy="24765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2719</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2731</v>
      </c>
      <c r="B3" s="325"/>
      <c r="C3" s="247" t="s">
        <v>2732</v>
      </c>
      <c r="D3" s="186"/>
      <c r="E3" s="186"/>
      <c r="F3" s="378"/>
      <c r="G3" s="378"/>
      <c r="H3" s="379"/>
      <c r="I3" s="330"/>
      <c r="J3" s="379"/>
      <c r="K3" s="335" t="s">
        <v>2733</v>
      </c>
      <c r="L3" s="377"/>
      <c r="M3" s="329" t="s">
        <v>2725</v>
      </c>
      <c r="N3" s="376"/>
      <c r="O3" s="376"/>
      <c r="P3" s="470"/>
      <c r="Q3" s="183"/>
      <c r="R3" s="183"/>
      <c r="S3" s="183"/>
      <c r="T3" s="183"/>
      <c r="U3" s="183"/>
      <c r="V3" s="183"/>
      <c r="W3" s="280"/>
      <c r="X3" s="193"/>
    </row>
    <row r="4" spans="1:24" ht="13.5" thickBot="1">
      <c r="A4" s="248">
        <v>41493</v>
      </c>
      <c r="B4" s="187"/>
      <c r="C4" s="188"/>
      <c r="D4" s="189"/>
      <c r="E4" s="189"/>
      <c r="F4" s="188"/>
      <c r="G4" s="188"/>
      <c r="H4" s="189"/>
      <c r="I4" s="264" t="s">
        <v>1857</v>
      </c>
      <c r="J4" s="190"/>
      <c r="K4" s="190"/>
      <c r="L4" s="191"/>
      <c r="M4" s="191"/>
      <c r="N4" s="321" t="s">
        <v>2723</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8.98611111111111</v>
      </c>
      <c r="M5" s="590"/>
      <c r="N5" s="593" t="s">
        <v>953</v>
      </c>
      <c r="O5" s="594">
        <v>8.926470588235293</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2722</v>
      </c>
      <c r="M6" s="591"/>
      <c r="N6" s="621" t="s">
        <v>2724</v>
      </c>
      <c r="O6" s="621"/>
      <c r="P6" s="473"/>
      <c r="Q6" s="183"/>
      <c r="R6" s="183"/>
      <c r="S6" s="183"/>
      <c r="T6" s="183"/>
      <c r="U6" s="183"/>
      <c r="V6" s="183"/>
      <c r="W6" s="280"/>
      <c r="X6" s="193"/>
    </row>
    <row r="7" spans="1:24" ht="12.75">
      <c r="A7" s="499" t="s">
        <v>2579</v>
      </c>
      <c r="B7" s="83">
        <v>63</v>
      </c>
      <c r="C7" s="84">
        <v>37</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f>IF(ISERROR(AVERAGE(I23:I82)),"     -",AVERAGE(I23:I82))</f>
        <v>8.78125</v>
      </c>
      <c r="O8" s="510">
        <f>IF(ISERROR(AVERAGE(J23:J82)),"      -",AVERAGE(J23:J82))</f>
        <v>1.65625</v>
      </c>
      <c r="P8" s="474"/>
      <c r="Q8" s="183"/>
      <c r="R8" s="183"/>
      <c r="S8" s="183"/>
      <c r="T8" s="183"/>
      <c r="U8" s="183"/>
      <c r="V8" s="183"/>
      <c r="W8" s="280"/>
      <c r="X8" s="193"/>
    </row>
    <row r="9" spans="1:24" ht="13.5" thickBot="1">
      <c r="A9" s="498" t="s">
        <v>1872</v>
      </c>
      <c r="B9" s="160">
        <v>61.68</v>
      </c>
      <c r="C9" s="161">
        <v>87.57</v>
      </c>
      <c r="D9" s="200"/>
      <c r="E9" s="200"/>
      <c r="F9" s="164">
        <f aca="true" t="shared" si="0" ref="F9:F15">($B9*$B$7+$C9*$C$7)/100</f>
        <v>71.2593</v>
      </c>
      <c r="G9" s="307"/>
      <c r="H9" s="201"/>
      <c r="I9" s="266"/>
      <c r="J9" s="262"/>
      <c r="K9" s="268"/>
      <c r="L9" s="202"/>
      <c r="M9" s="199" t="s">
        <v>1071</v>
      </c>
      <c r="N9" s="510">
        <f>IF(ISERROR(STDEVP(I23:I82)),"     -",STDEVP(I23:I82))</f>
        <v>3.038650759383184</v>
      </c>
      <c r="O9" s="510">
        <f>IF(ISERROR(STDEVP(J23:J82)),"      -",STDEVP(J23:J82))</f>
        <v>0.592102978796763</v>
      </c>
      <c r="P9" s="474"/>
      <c r="Q9" s="183"/>
      <c r="R9" s="183"/>
      <c r="S9" s="183"/>
      <c r="T9" s="183"/>
      <c r="U9" s="183"/>
      <c r="V9" s="183"/>
      <c r="W9" s="283"/>
      <c r="X9" s="284"/>
    </row>
    <row r="10" spans="1:22" ht="13.5" thickTop="1">
      <c r="A10" s="500" t="s">
        <v>2577</v>
      </c>
      <c r="B10" s="496" t="s">
        <v>2575</v>
      </c>
      <c r="C10" s="402" t="s">
        <v>2575</v>
      </c>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13</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12</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44</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1</v>
      </c>
      <c r="L14" s="208"/>
      <c r="M14" s="213" t="s">
        <v>1083</v>
      </c>
      <c r="N14" s="316">
        <f>COUNTIF($I$23:$I$82,"&gt;-1")</f>
        <v>32</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26</v>
      </c>
      <c r="L15" s="208"/>
      <c r="M15" s="214" t="s">
        <v>1080</v>
      </c>
      <c r="N15" s="317">
        <f>COUNTIF(J23:J82,"=1")</f>
        <v>13</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17</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61.68500000000003</v>
      </c>
      <c r="C20" s="162">
        <f>SUM(C23:C82)</f>
        <v>87.57499999999993</v>
      </c>
      <c r="D20" s="88"/>
      <c r="E20" s="340" t="s">
        <v>1035</v>
      </c>
      <c r="F20" s="166">
        <f>($B20*$B$7+$C20*$C$7)/100</f>
        <v>71.26429999999999</v>
      </c>
      <c r="G20" s="15"/>
      <c r="H20" s="32"/>
      <c r="I20" s="265"/>
      <c r="J20" s="265"/>
      <c r="K20" s="16"/>
      <c r="L20" s="17"/>
      <c r="M20" s="10"/>
      <c r="N20" s="10"/>
      <c r="O20" s="467"/>
      <c r="P20" s="479"/>
      <c r="Q20" s="216" t="s">
        <v>1079</v>
      </c>
      <c r="R20" s="183"/>
      <c r="S20" s="183"/>
      <c r="T20" s="183"/>
      <c r="U20" s="183"/>
      <c r="V20" s="183" t="s">
        <v>1130</v>
      </c>
      <c r="W20" s="341" t="s">
        <v>2721</v>
      </c>
    </row>
    <row r="21" spans="1:23" ht="12.75">
      <c r="A21" s="5" t="s">
        <v>196</v>
      </c>
      <c r="B21" s="163">
        <f>B20*B7/100</f>
        <v>38.86155000000002</v>
      </c>
      <c r="C21" s="163">
        <f>C20*C7/100</f>
        <v>32.402749999999976</v>
      </c>
      <c r="D21" s="33" t="str">
        <f>IF(F21=0,"",IF((ABS(F21-F19))&gt;(0.2*F21),CONCATENATE(" rec. par taxa (",F21," %) supérieur à 20 % !"),""))</f>
        <v> rec. par taxa (71,2643 %) supérieur à 20 % !</v>
      </c>
      <c r="E21" s="343" t="str">
        <f>IF(F21=0,"",IF((ABS(F21-F19))&gt;(0.2*F21),CONCATENATE("ATTENTION : écart entre rec. par grp (",F19," %) ","et",""),""))</f>
        <v>ATTENTION : écart entre rec. par grp (0 %) et</v>
      </c>
      <c r="F21" s="167">
        <f>B21+C21</f>
        <v>71.26429999999999</v>
      </c>
      <c r="G21" s="245"/>
      <c r="H21" s="33"/>
      <c r="I21" s="6"/>
      <c r="J21" s="6"/>
      <c r="K21" s="7"/>
      <c r="L21" s="7"/>
      <c r="M21" s="8"/>
      <c r="N21" s="8"/>
      <c r="O21" s="468"/>
      <c r="P21" s="480"/>
      <c r="Q21" s="331" t="s">
        <v>1017</v>
      </c>
      <c r="R21" s="183"/>
      <c r="S21" s="183"/>
      <c r="T21" s="183"/>
      <c r="U21" s="183"/>
      <c r="V21" s="183" t="s">
        <v>1130</v>
      </c>
      <c r="W21" s="341" t="s">
        <v>2734</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903</v>
      </c>
      <c r="B23" s="239">
        <v>0.02</v>
      </c>
      <c r="C23" s="240">
        <v>0.01</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0.0163</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0.016300000000000002</v>
      </c>
      <c r="R23" s="223">
        <f aca="true" t="shared" si="3" ref="R23:R54">IF(OR(ISTEXT(H23),Q23=0),"",IF(Q23&lt;0.1,1,IF(Q23&lt;1,2,IF(Q23&lt;10,3,IF(Q23&lt;50,4,IF(Q23&gt;=50,5,""))))))</f>
        <v>1</v>
      </c>
      <c r="S23" s="223">
        <f aca="true" t="shared" si="4" ref="S23:S54">IF(ISERROR(R23*I23),0,R23*I23)</f>
        <v>13</v>
      </c>
      <c r="T23" s="223">
        <f aca="true" t="shared" si="5" ref="T23:T54">IF(ISERROR(R23*I23*J23),0,R23*I23*J23)</f>
        <v>13</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907</v>
      </c>
      <c r="B24" s="241">
        <v>28</v>
      </c>
      <c r="C24" s="242">
        <v>11</v>
      </c>
      <c r="D24" s="221" t="str">
        <f>IF(ISERROR(VLOOKUP($A24,'liste reference'!$A$7:$D$904,2,0)),IF(ISERROR(VLOOKUP($A24,'liste reference'!$B$7:$D$904,1,0)),"",VLOOKUP($A24,'liste reference'!$B$7:$D$904,1,0)),VLOOKUP($A24,'liste reference'!$A$7:$D$904,2,0))</f>
        <v>Cladophora sp.</v>
      </c>
      <c r="E24" s="224" t="e">
        <f>IF(D24="",,VLOOKUP(D24,D$22:D23,1,0))</f>
        <v>#N/A</v>
      </c>
      <c r="F24" s="38">
        <f t="shared" si="1"/>
        <v>21.71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21.71</v>
      </c>
      <c r="R24" s="223">
        <f t="shared" si="3"/>
        <v>4</v>
      </c>
      <c r="S24" s="223">
        <f t="shared" si="4"/>
        <v>24</v>
      </c>
      <c r="T24" s="223">
        <f t="shared" si="5"/>
        <v>24</v>
      </c>
      <c r="U24" s="225">
        <f t="shared" si="6"/>
        <v>4</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910</v>
      </c>
      <c r="B25" s="241">
        <v>0.3</v>
      </c>
      <c r="C25" s="242"/>
      <c r="D25" s="221" t="str">
        <f>IF(ISERROR(VLOOKUP($A25,'liste reference'!$A$7:$D$904,2,0)),IF(ISERROR(VLOOKUP($A25,'liste reference'!$B$7:$D$904,1,0)),"",VLOOKUP($A25,'liste reference'!$B$7:$D$904,1,0)),VLOOKUP($A25,'liste reference'!$A$7:$D$904,2,0))</f>
        <v>Diatoma sp.</v>
      </c>
      <c r="E25" s="224" t="e">
        <f>IF(D25="",,VLOOKUP(D25,D$22:D24,1,0))</f>
        <v>#N/A</v>
      </c>
      <c r="F25" s="38">
        <f t="shared" si="1"/>
        <v>0.18899999999999997</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12</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Diatoma sp.</v>
      </c>
      <c r="L25" s="333"/>
      <c r="M25" s="333"/>
      <c r="N25" s="333"/>
      <c r="O25" s="367"/>
      <c r="P25" s="367">
        <f>IF($A25="NEWCOD",IF($AC25="","No",$AC25),IF(ISTEXT($E25),"DEJA SAISI !",IF($A25="","",IF(ISERROR(VLOOKUP($A25,'liste reference'!A:S,19,FALSE)),IF(ISERROR(VLOOKUP($A25,'liste reference'!B:S,19,FALSE)),"",VLOOKUP($A25,'liste reference'!B:S,19,FALSE)),VLOOKUP($A25,'liste reference'!A:S,19,FALSE)))))</f>
        <v>6627</v>
      </c>
      <c r="Q25" s="222">
        <f t="shared" si="2"/>
        <v>0.18899999999999997</v>
      </c>
      <c r="R25" s="223">
        <f t="shared" si="3"/>
        <v>2</v>
      </c>
      <c r="S25" s="223">
        <f t="shared" si="4"/>
        <v>24</v>
      </c>
      <c r="T25" s="223">
        <f t="shared" si="5"/>
        <v>48</v>
      </c>
      <c r="U25" s="225">
        <f t="shared" si="6"/>
        <v>4</v>
      </c>
      <c r="V25" s="287">
        <f t="shared" si="7"/>
      </c>
      <c r="W25" s="289" t="s">
        <v>1130</v>
      </c>
      <c r="Y25" s="324" t="str">
        <f>IF(A25="new.cod","NEWCOD",IF(AND((Z25=""),ISTEXT(A25)),A25,IF(Z25="","",INDEX('liste reference'!$A$8:$A$904,Z25))))</f>
        <v>DIASPX</v>
      </c>
      <c r="Z25" s="183">
        <f>IF(ISERROR(MATCH(A25,'liste reference'!$A$8:$A$904,0)),IF(ISERROR(MATCH(A25,'liste reference'!$B$8:$B$904,0)),"",(MATCH(A25,'liste reference'!$B$8:$B$904,0))),(MATCH(A25,'liste reference'!$A$8:$A$904,0)))</f>
        <v>26</v>
      </c>
      <c r="AA25" s="385"/>
      <c r="AB25" s="372"/>
      <c r="AC25" s="372"/>
      <c r="BB25" s="183">
        <f t="shared" si="8"/>
        <v>1</v>
      </c>
    </row>
    <row r="26" spans="1:54" ht="12.75">
      <c r="A26" s="322" t="s">
        <v>912</v>
      </c>
      <c r="B26" s="241">
        <v>0.005</v>
      </c>
      <c r="C26" s="242">
        <v>0.005</v>
      </c>
      <c r="D26" s="221" t="str">
        <f>IF(ISERROR(VLOOKUP($A26,'liste reference'!$A$7:$D$904,2,0)),IF(ISERROR(VLOOKUP($A26,'liste reference'!$B$7:$D$904,1,0)),"",VLOOKUP($A26,'liste reference'!$B$7:$D$904,1,0)),VLOOKUP($A26,'liste reference'!$A$7:$D$904,2,0))</f>
        <v>Enteromorpha sp.</v>
      </c>
      <c r="E26" s="224" t="e">
        <f>IF(D26="",,VLOOKUP(D26,D$22:D25,1,0))</f>
        <v>#N/A</v>
      </c>
      <c r="F26" s="38">
        <f t="shared" si="1"/>
        <v>0.005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Enteromorpha sp.</v>
      </c>
      <c r="L26" s="333"/>
      <c r="M26" s="333"/>
      <c r="N26" s="333"/>
      <c r="O26" s="367"/>
      <c r="P26" s="367">
        <f>IF($A26="NEWCOD",IF($AC26="","No",$AC26),IF(ISTEXT($E26),"DEJA SAISI !",IF($A26="","",IF(ISERROR(VLOOKUP($A26,'liste reference'!A:S,19,FALSE)),IF(ISERROR(VLOOKUP($A26,'liste reference'!B:S,19,FALSE)),"",VLOOKUP($A26,'liste reference'!B:S,19,FALSE)),VLOOKUP($A26,'liste reference'!A:S,19,FALSE)))))</f>
        <v>1144</v>
      </c>
      <c r="Q26" s="222">
        <f t="shared" si="2"/>
        <v>0.005</v>
      </c>
      <c r="R26" s="223">
        <f t="shared" si="3"/>
        <v>1</v>
      </c>
      <c r="S26" s="223">
        <f t="shared" si="4"/>
        <v>3</v>
      </c>
      <c r="T26" s="223">
        <f t="shared" si="5"/>
        <v>6</v>
      </c>
      <c r="U26" s="225">
        <f t="shared" si="6"/>
        <v>2</v>
      </c>
      <c r="V26" s="287">
        <f t="shared" si="7"/>
      </c>
      <c r="W26" s="289" t="s">
        <v>1130</v>
      </c>
      <c r="Y26" s="324" t="str">
        <f>IF(A26="new.cod","NEWCOD",IF(AND((Z26=""),ISTEXT(A26)),A26,IF(Z26="","",INDEX('liste reference'!$A$8:$A$904,Z26))))</f>
        <v>ENTSPX</v>
      </c>
      <c r="Z26" s="183">
        <f>IF(ISERROR(MATCH(A26,'liste reference'!$A$8:$A$904,0)),IF(ISERROR(MATCH(A26,'liste reference'!$B$8:$B$904,0)),"",(MATCH(A26,'liste reference'!$B$8:$B$904,0))),(MATCH(A26,'liste reference'!$A$8:$A$904,0)))</f>
        <v>28</v>
      </c>
      <c r="AA26" s="385"/>
      <c r="AB26" s="372"/>
      <c r="AC26" s="372"/>
      <c r="BB26" s="183">
        <f t="shared" si="8"/>
        <v>1</v>
      </c>
    </row>
    <row r="27" spans="1:54" ht="12.75">
      <c r="A27" s="322" t="s">
        <v>916</v>
      </c>
      <c r="B27" s="241"/>
      <c r="C27" s="242">
        <v>0.08</v>
      </c>
      <c r="D27" s="221" t="str">
        <f>IF(ISERROR(VLOOKUP($A27,'liste reference'!$A$7:$D$904,2,0)),IF(ISERROR(VLOOKUP($A27,'liste reference'!$B$7:$D$904,1,0)),"",VLOOKUP($A27,'liste reference'!$B$7:$D$904,1,0)),VLOOKUP($A27,'liste reference'!$A$7:$D$904,2,0))</f>
        <v>Hydrodictyon sp.</v>
      </c>
      <c r="E27" s="224" t="e">
        <f>IF(D27="",,VLOOKUP(D27,D$22:D26,1,0))</f>
        <v>#N/A</v>
      </c>
      <c r="F27" s="38">
        <f t="shared" si="1"/>
        <v>0.0296</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6</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Hydrodictyon sp.</v>
      </c>
      <c r="L27" s="333"/>
      <c r="M27" s="333"/>
      <c r="N27" s="333"/>
      <c r="O27" s="367"/>
      <c r="P27" s="367">
        <f>IF($A27="NEWCOD",IF($AC27="","No",$AC27),IF(ISTEXT($E27),"DEJA SAISI !",IF($A27="","",IF(ISERROR(VLOOKUP($A27,'liste reference'!A:S,19,FALSE)),IF(ISERROR(VLOOKUP($A27,'liste reference'!B:S,19,FALSE)),"",VLOOKUP($A27,'liste reference'!B:S,19,FALSE)),VLOOKUP($A27,'liste reference'!A:S,19,FALSE)))))</f>
        <v>5686</v>
      </c>
      <c r="Q27" s="222">
        <f t="shared" si="2"/>
        <v>0.0296</v>
      </c>
      <c r="R27" s="223">
        <f t="shared" si="3"/>
        <v>1</v>
      </c>
      <c r="S27" s="223">
        <f t="shared" si="4"/>
        <v>6</v>
      </c>
      <c r="T27" s="223">
        <f t="shared" si="5"/>
        <v>12</v>
      </c>
      <c r="U27" s="225">
        <f t="shared" si="6"/>
        <v>2</v>
      </c>
      <c r="V27" s="287">
        <f t="shared" si="7"/>
      </c>
      <c r="W27" s="289" t="s">
        <v>1130</v>
      </c>
      <c r="Y27" s="324" t="str">
        <f>IF(A27="new.cod","NEWCOD",IF(AND((Z27=""),ISTEXT(A27)),A27,IF(Z27="","",INDEX('liste reference'!$A$8:$A$904,Z27))))</f>
        <v>HYISPX</v>
      </c>
      <c r="Z27" s="183">
        <f>IF(ISERROR(MATCH(A27,'liste reference'!$A$8:$A$904,0)),IF(ISERROR(MATCH(A27,'liste reference'!$B$8:$B$904,0)),"",(MATCH(A27,'liste reference'!$B$8:$B$904,0))),(MATCH(A27,'liste reference'!$A$8:$A$904,0)))</f>
        <v>32</v>
      </c>
      <c r="AA27" s="385"/>
      <c r="AB27" s="372"/>
      <c r="AC27" s="372"/>
      <c r="BB27" s="183">
        <f t="shared" si="8"/>
        <v>1</v>
      </c>
    </row>
    <row r="28" spans="1:54" ht="12.75">
      <c r="A28" s="322" t="s">
        <v>920</v>
      </c>
      <c r="B28" s="241">
        <v>0.3</v>
      </c>
      <c r="C28" s="242"/>
      <c r="D28" s="221" t="str">
        <f>IF(ISERROR(VLOOKUP($A28,'liste reference'!$A$7:$D$904,2,0)),IF(ISERROR(VLOOKUP($A28,'liste reference'!$B$7:$D$904,1,0)),"",VLOOKUP($A28,'liste reference'!$B$7:$D$904,1,0)),VLOOKUP($A28,'liste reference'!$A$7:$D$904,2,0))</f>
        <v>Melosira sp.</v>
      </c>
      <c r="E28" s="224" t="e">
        <f>IF(D28="",,VLOOKUP(D28,D$21:D22,1,0))</f>
        <v>#N/A</v>
      </c>
      <c r="F28" s="38">
        <f t="shared" si="1"/>
        <v>0.18899999999999997</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Melosira sp.</v>
      </c>
      <c r="L28" s="333"/>
      <c r="M28" s="333"/>
      <c r="N28" s="333"/>
      <c r="O28" s="367"/>
      <c r="P28" s="367">
        <f>IF($A28="NEWCOD",IF($AC28="","No",$AC28),IF(ISTEXT($E28),"DEJA SAISI !",IF($A28="","",IF(ISERROR(VLOOKUP($A28,'liste reference'!A:S,19,FALSE)),IF(ISERROR(VLOOKUP($A28,'liste reference'!B:S,19,FALSE)),"",VLOOKUP($A28,'liste reference'!B:S,19,FALSE)),VLOOKUP($A28,'liste reference'!A:S,19,FALSE)))))</f>
        <v>8714</v>
      </c>
      <c r="Q28" s="222">
        <f t="shared" si="2"/>
        <v>0.18899999999999997</v>
      </c>
      <c r="R28" s="223">
        <f t="shared" si="3"/>
        <v>2</v>
      </c>
      <c r="S28" s="223">
        <f t="shared" si="4"/>
        <v>20</v>
      </c>
      <c r="T28" s="223">
        <f t="shared" si="5"/>
        <v>20</v>
      </c>
      <c r="U28" s="225">
        <f t="shared" si="6"/>
        <v>2</v>
      </c>
      <c r="V28" s="287">
        <f t="shared" si="7"/>
      </c>
      <c r="W28" s="289" t="s">
        <v>1130</v>
      </c>
      <c r="Y28" s="324" t="str">
        <f>IF(A28="new.cod","NEWCOD",IF(AND((Z28=""),ISTEXT(A28)),A28,IF(Z28="","",INDEX('liste reference'!$A$8:$A$904,Z28))))</f>
        <v>MELSPX</v>
      </c>
      <c r="Z28" s="183">
        <f>IF(ISERROR(MATCH(A28,'liste reference'!$A$8:$A$904,0)),IF(ISERROR(MATCH(A28,'liste reference'!$B$8:$B$904,0)),"",(MATCH(A28,'liste reference'!$B$8:$B$904,0))),(MATCH(A28,'liste reference'!$A$8:$A$904,0)))</f>
        <v>36</v>
      </c>
      <c r="AA28" s="385"/>
      <c r="AB28" s="372"/>
      <c r="AC28" s="372"/>
      <c r="BB28" s="183">
        <f t="shared" si="8"/>
        <v>1</v>
      </c>
    </row>
    <row r="29" spans="1:54" ht="12.75">
      <c r="A29" s="322" t="s">
        <v>927</v>
      </c>
      <c r="B29" s="241"/>
      <c r="C29" s="242">
        <v>0.05</v>
      </c>
      <c r="D29" s="221" t="str">
        <f>IF(ISERROR(VLOOKUP($A29,'liste reference'!$A$7:$D$904,2,0)),IF(ISERROR(VLOOKUP($A29,'liste reference'!$B$7:$D$904,1,0)),"",VLOOKUP($A29,'liste reference'!$B$7:$D$904,1,0)),VLOOKUP($A29,'liste reference'!$A$7:$D$904,2,0))</f>
        <v>Mougeotia sp.</v>
      </c>
      <c r="E29" s="224" t="e">
        <f>IF(D29="",,VLOOKUP(D29,D$22:D28,1,0))</f>
        <v>#N/A</v>
      </c>
      <c r="F29" s="38">
        <f t="shared" si="1"/>
        <v>0.018500000000000003</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Mougeotia sp.</v>
      </c>
      <c r="L29" s="333"/>
      <c r="M29" s="333"/>
      <c r="N29" s="333"/>
      <c r="O29" s="367"/>
      <c r="P29" s="367">
        <f>IF($A29="NEWCOD",IF($AC29="","No",$AC29),IF(ISTEXT($E29),"DEJA SAISI !",IF($A29="","",IF(ISERROR(VLOOKUP($A29,'liste reference'!A:S,19,FALSE)),IF(ISERROR(VLOOKUP($A29,'liste reference'!B:S,19,FALSE)),"",VLOOKUP($A29,'liste reference'!B:S,19,FALSE)),VLOOKUP($A29,'liste reference'!A:S,19,FALSE)))))</f>
        <v>1146</v>
      </c>
      <c r="Q29" s="222">
        <f t="shared" si="2"/>
        <v>0.018500000000000003</v>
      </c>
      <c r="R29" s="223">
        <f t="shared" si="3"/>
        <v>1</v>
      </c>
      <c r="S29" s="223">
        <f t="shared" si="4"/>
        <v>13</v>
      </c>
      <c r="T29" s="223">
        <f t="shared" si="5"/>
        <v>26</v>
      </c>
      <c r="U29" s="225">
        <f t="shared" si="6"/>
        <v>2</v>
      </c>
      <c r="V29" s="287">
        <f t="shared" si="7"/>
      </c>
      <c r="W29" s="289" t="s">
        <v>1130</v>
      </c>
      <c r="Y29" s="324" t="str">
        <f>IF(A29="new.cod","NEWCOD",IF(AND((Z29=""),ISTEXT(A29)),A29,IF(Z29="","",INDEX('liste reference'!$A$8:$A$904,Z29))))</f>
        <v>MOUSPX</v>
      </c>
      <c r="Z29" s="183">
        <f>IF(ISERROR(MATCH(A29,'liste reference'!$A$8:$A$904,0)),IF(ISERROR(MATCH(A29,'liste reference'!$B$8:$B$904,0)),"",(MATCH(A29,'liste reference'!$B$8:$B$904,0))),(MATCH(A29,'liste reference'!$A$8:$A$904,0)))</f>
        <v>43</v>
      </c>
      <c r="AA29" s="385"/>
      <c r="AB29" s="372"/>
      <c r="AC29" s="372"/>
      <c r="BB29" s="183">
        <f t="shared" si="8"/>
        <v>1</v>
      </c>
    </row>
    <row r="30" spans="1:54" ht="12.75">
      <c r="A30" s="322" t="s">
        <v>939</v>
      </c>
      <c r="B30" s="241">
        <v>0.01</v>
      </c>
      <c r="C30" s="242"/>
      <c r="D30" s="221" t="str">
        <f>IF(ISERROR(VLOOKUP($A30,'liste reference'!$A$7:$D$904,2,0)),IF(ISERROR(VLOOKUP($A30,'liste reference'!$B$7:$D$904,1,0)),"",VLOOKUP($A30,'liste reference'!$B$7:$D$904,1,0)),VLOOKUP($A30,'liste reference'!$A$7:$D$904,2,0))</f>
        <v>Oedogonium sp.</v>
      </c>
      <c r="E30" s="224" t="e">
        <f>IF(D30="",,VLOOKUP(D30,D$18:D22,1,0))</f>
        <v>#N/A</v>
      </c>
      <c r="F30" s="38">
        <f t="shared" si="1"/>
        <v>0.0063</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6</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Oedogonium sp.</v>
      </c>
      <c r="L30" s="333"/>
      <c r="M30" s="333"/>
      <c r="N30" s="333"/>
      <c r="O30" s="367"/>
      <c r="P30" s="367">
        <f>IF($A30="NEWCOD",IF($AC30="","No",$AC30),IF(ISTEXT($E30),"DEJA SAISI !",IF($A30="","",IF(ISERROR(VLOOKUP($A30,'liste reference'!A:S,19,FALSE)),IF(ISERROR(VLOOKUP($A30,'liste reference'!B:S,19,FALSE)),"",VLOOKUP($A30,'liste reference'!B:S,19,FALSE)),VLOOKUP($A30,'liste reference'!A:S,19,FALSE)))))</f>
        <v>1134</v>
      </c>
      <c r="Q30" s="222">
        <f t="shared" si="2"/>
        <v>0.0063</v>
      </c>
      <c r="R30" s="223">
        <f t="shared" si="3"/>
        <v>1</v>
      </c>
      <c r="S30" s="223">
        <f t="shared" si="4"/>
        <v>6</v>
      </c>
      <c r="T30" s="223">
        <f t="shared" si="5"/>
        <v>12</v>
      </c>
      <c r="U30" s="225">
        <f t="shared" si="6"/>
        <v>2</v>
      </c>
      <c r="V30" s="287">
        <f t="shared" si="7"/>
      </c>
      <c r="W30" s="289" t="s">
        <v>1130</v>
      </c>
      <c r="Y30" s="324" t="str">
        <f>IF(A30="new.cod","NEWCOD",IF(AND((Z30=""),ISTEXT(A30)),A30,IF(Z30="","",INDEX('liste reference'!$A$8:$A$904,Z30))))</f>
        <v>OEDSPX</v>
      </c>
      <c r="Z30" s="183">
        <f>IF(ISERROR(MATCH(A30,'liste reference'!$A$8:$A$904,0)),IF(ISERROR(MATCH(A30,'liste reference'!$B$8:$B$904,0)),"",(MATCH(A30,'liste reference'!$B$8:$B$904,0))),(MATCH(A30,'liste reference'!$A$8:$A$904,0)))</f>
        <v>55</v>
      </c>
      <c r="AA30" s="385"/>
      <c r="AB30" s="372"/>
      <c r="AC30" s="372"/>
      <c r="BB30" s="183">
        <f t="shared" si="8"/>
        <v>1</v>
      </c>
    </row>
    <row r="31" spans="1:54" ht="12.75">
      <c r="A31" s="322" t="s">
        <v>940</v>
      </c>
      <c r="B31" s="241">
        <v>0.5</v>
      </c>
      <c r="C31" s="242"/>
      <c r="D31" s="221" t="str">
        <f>IF(ISERROR(VLOOKUP($A31,'liste reference'!$A$7:$D$904,2,0)),IF(ISERROR(VLOOKUP($A31,'liste reference'!$B$7:$D$904,1,0)),"",VLOOKUP($A31,'liste reference'!$B$7:$D$904,1,0)),VLOOKUP($A31,'liste reference'!$A$7:$D$904,2,0))</f>
        <v>Oscillatoria sp.</v>
      </c>
      <c r="E31" s="224" t="e">
        <f>IF(D31="",,VLOOKUP(D31,D$22:D23,1,0))</f>
        <v>#N/A</v>
      </c>
      <c r="F31" s="38">
        <f t="shared" si="1"/>
        <v>0.315</v>
      </c>
      <c r="G31" s="507" t="str">
        <f>IF(A31="","",IF(ISERROR(VLOOKUP($A31,'liste reference'!$A$7:$P$904,13,0)),IF(ISERROR(VLOOKUP($A31,'liste reference'!$B$7:$P$904,12,0)),"    -",VLOOKUP($A31,'liste reference'!$B$7:$P$904,12,0)),VLOOKUP($A31,'liste reference'!$A$7:$P$904,13,0)))</f>
        <v>ALG</v>
      </c>
      <c r="H31" s="508">
        <f>IF(A31="","x",IF(ISERROR(VLOOKUP($A31,'liste reference'!$A$8:$P$904,14,0)),IF(ISERROR(VLOOKUP($A31,'liste reference'!$B$8:$P$904,13,0)),"x",VLOOKUP($A31,'liste reference'!$B$8:$P$904,13,0)),VLOOKUP($A31,'liste reference'!$A$8:$P$904,14,0)))</f>
        <v>2</v>
      </c>
      <c r="I31" s="509">
        <f>IF(ISNUMBER(H31),IF(ISERROR(VLOOKUP($A31,'liste reference'!$A$7:$P$904,3,0)),IF(ISERROR(VLOOKUP($A31,'liste reference'!$B$7:$P$904,2,0)),"",VLOOKUP($A31,'liste reference'!$B$7:$P$904,2,0)),VLOOKUP($A31,'liste reference'!$A$7:$P$904,3,0)),"")</f>
        <v>11</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Oscillatoria sp.</v>
      </c>
      <c r="L31" s="333"/>
      <c r="M31" s="333"/>
      <c r="N31" s="333"/>
      <c r="O31" s="367"/>
      <c r="P31" s="367">
        <f>IF($A31="NEWCOD",IF($AC31="","No",$AC31),IF(ISTEXT($E31),"DEJA SAISI !",IF($A31="","",IF(ISERROR(VLOOKUP($A31,'liste reference'!A:S,19,FALSE)),IF(ISERROR(VLOOKUP($A31,'liste reference'!B:S,19,FALSE)),"",VLOOKUP($A31,'liste reference'!B:S,19,FALSE)),VLOOKUP($A31,'liste reference'!A:S,19,FALSE)))))</f>
        <v>1108</v>
      </c>
      <c r="Q31" s="222">
        <f t="shared" si="2"/>
        <v>0.315</v>
      </c>
      <c r="R31" s="223">
        <f t="shared" si="3"/>
        <v>2</v>
      </c>
      <c r="S31" s="223">
        <f t="shared" si="4"/>
        <v>22</v>
      </c>
      <c r="T31" s="223">
        <f t="shared" si="5"/>
        <v>22</v>
      </c>
      <c r="U31" s="225">
        <f t="shared" si="6"/>
        <v>2</v>
      </c>
      <c r="V31" s="287">
        <f t="shared" si="7"/>
      </c>
      <c r="W31" s="289" t="s">
        <v>1130</v>
      </c>
      <c r="Y31" s="324" t="str">
        <f>IF(A31="new.cod","NEWCOD",IF(AND((Z31=""),ISTEXT(A31)),A31,IF(Z31="","",INDEX('liste reference'!$A$8:$A$904,Z31))))</f>
        <v>OSCSPX</v>
      </c>
      <c r="Z31" s="183">
        <f>IF(ISERROR(MATCH(A31,'liste reference'!$A$8:$A$904,0)),IF(ISERROR(MATCH(A31,'liste reference'!$B$8:$B$904,0)),"",(MATCH(A31,'liste reference'!$B$8:$B$904,0))),(MATCH(A31,'liste reference'!$A$8:$A$904,0)))</f>
        <v>56</v>
      </c>
      <c r="AA31" s="385"/>
      <c r="AB31" s="372"/>
      <c r="AC31" s="372"/>
      <c r="BB31" s="183">
        <f t="shared" si="8"/>
        <v>1</v>
      </c>
    </row>
    <row r="32" spans="1:54" ht="12.75">
      <c r="A32" s="322" t="s">
        <v>953</v>
      </c>
      <c r="B32" s="241">
        <v>28</v>
      </c>
      <c r="C32" s="242">
        <v>73</v>
      </c>
      <c r="D32" s="221" t="str">
        <f>IF(ISERROR(VLOOKUP($A32,'liste reference'!$A$7:$D$904,2,0)),IF(ISERROR(VLOOKUP($A32,'liste reference'!$B$7:$D$904,1,0)),"",VLOOKUP($A32,'liste reference'!$B$7:$D$904,1,0)),VLOOKUP($A32,'liste reference'!$A$7:$D$904,2,0))</f>
        <v>Spirogyra sp.</v>
      </c>
      <c r="E32" s="224" t="e">
        <f>IF(D32="",,VLOOKUP(D32,D$22:D31,1,0))</f>
        <v>#N/A</v>
      </c>
      <c r="F32" s="38">
        <f t="shared" si="1"/>
        <v>44.65</v>
      </c>
      <c r="G32" s="507" t="str">
        <f>IF(A32="","",IF(ISERROR(VLOOKUP($A32,'liste reference'!$A$7:$P$904,13,0)),IF(ISERROR(VLOOKUP($A32,'liste reference'!$B$7:$P$904,12,0)),"    -",VLOOKUP($A32,'liste reference'!$B$7:$P$904,12,0)),VLOOKUP($A32,'liste reference'!$A$7:$P$904,13,0)))</f>
        <v>ALG</v>
      </c>
      <c r="H32" s="508">
        <f>IF(A32="","x",IF(ISERROR(VLOOKUP($A32,'liste reference'!$A$8:$P$904,14,0)),IF(ISERROR(VLOOKUP($A32,'liste reference'!$B$8:$P$904,13,0)),"x",VLOOKUP($A32,'liste reference'!$B$8:$P$904,13,0)),VLOOKUP($A32,'liste reference'!$A$8:$P$904,14,0)))</f>
        <v>2</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Spirogyra sp.</v>
      </c>
      <c r="L32" s="333"/>
      <c r="M32" s="333"/>
      <c r="N32" s="333"/>
      <c r="O32" s="367"/>
      <c r="P32" s="367">
        <f>IF($A32="NEWCOD",IF($AC32="","No",$AC32),IF(ISTEXT($E32),"DEJA SAISI !",IF($A32="","",IF(ISERROR(VLOOKUP($A32,'liste reference'!A:S,19,FALSE)),IF(ISERROR(VLOOKUP($A32,'liste reference'!B:S,19,FALSE)),"",VLOOKUP($A32,'liste reference'!B:S,19,FALSE)),VLOOKUP($A32,'liste reference'!A:S,19,FALSE)))))</f>
        <v>1147</v>
      </c>
      <c r="Q32" s="222">
        <f t="shared" si="2"/>
        <v>44.650000000000006</v>
      </c>
      <c r="R32" s="223">
        <f t="shared" si="3"/>
        <v>4</v>
      </c>
      <c r="S32" s="223">
        <f t="shared" si="4"/>
        <v>40</v>
      </c>
      <c r="T32" s="223">
        <f t="shared" si="5"/>
        <v>40</v>
      </c>
      <c r="U32" s="225">
        <f t="shared" si="6"/>
        <v>4</v>
      </c>
      <c r="V32" s="287">
        <f t="shared" si="7"/>
      </c>
      <c r="W32" s="289" t="s">
        <v>1130</v>
      </c>
      <c r="Y32" s="324" t="str">
        <f>IF(A32="new.cod","NEWCOD",IF(AND((Z32=""),ISTEXT(A32)),A32,IF(Z32="","",INDEX('liste reference'!$A$8:$A$904,Z32))))</f>
        <v>SPISPX</v>
      </c>
      <c r="Z32" s="183">
        <f>IF(ISERROR(MATCH(A32,'liste reference'!$A$8:$A$904,0)),IF(ISERROR(MATCH(A32,'liste reference'!$B$8:$B$904,0)),"",(MATCH(A32,'liste reference'!$B$8:$B$904,0))),(MATCH(A32,'liste reference'!$A$8:$A$904,0)))</f>
        <v>69</v>
      </c>
      <c r="AA32" s="385"/>
      <c r="AB32" s="372"/>
      <c r="AC32" s="372"/>
      <c r="BB32" s="183">
        <f t="shared" si="8"/>
        <v>1</v>
      </c>
    </row>
    <row r="33" spans="1:54" ht="12.75">
      <c r="A33" s="322" t="s">
        <v>955</v>
      </c>
      <c r="B33" s="241">
        <v>0.005</v>
      </c>
      <c r="C33" s="242"/>
      <c r="D33" s="221" t="str">
        <f>IF(ISERROR(VLOOKUP($A33,'liste reference'!$A$7:$D$904,2,0)),IF(ISERROR(VLOOKUP($A33,'liste reference'!$B$7:$D$904,1,0)),"",VLOOKUP($A33,'liste reference'!$B$7:$D$904,1,0)),VLOOKUP($A33,'liste reference'!$A$7:$D$904,2,0))</f>
        <v>Stigeoclonium sp.</v>
      </c>
      <c r="E33" s="224" t="e">
        <f>IF(D33="",,VLOOKUP(D33,D$21:D22,1,0))</f>
        <v>#N/A</v>
      </c>
      <c r="F33" s="38">
        <f t="shared" si="1"/>
        <v>0.00315</v>
      </c>
      <c r="G33" s="507" t="str">
        <f>IF(A33="","",IF(ISERROR(VLOOKUP($A33,'liste reference'!$A$7:$P$904,13,0)),IF(ISERROR(VLOOKUP($A33,'liste reference'!$B$7:$P$904,12,0)),"    -",VLOOKUP($A33,'liste reference'!$B$7:$P$904,12,0)),VLOOKUP($A33,'liste reference'!$A$7:$P$904,13,0)))</f>
        <v>ALG</v>
      </c>
      <c r="H33" s="508">
        <f>IF(A33="","x",IF(ISERROR(VLOOKUP($A33,'liste reference'!$A$8:$P$904,14,0)),IF(ISERROR(VLOOKUP($A33,'liste reference'!$B$8:$P$904,13,0)),"x",VLOOKUP($A33,'liste reference'!$B$8:$P$904,13,0)),VLOOKUP($A33,'liste reference'!$A$8:$P$904,14,0)))</f>
        <v>2</v>
      </c>
      <c r="I33" s="509">
        <f>IF(ISNUMBER(H33),IF(ISERROR(VLOOKUP($A33,'liste reference'!$A$7:$P$904,3,0)),IF(ISERROR(VLOOKUP($A33,'liste reference'!$B$7:$P$904,2,0)),"",VLOOKUP($A33,'liste reference'!$B$7:$P$904,2,0)),VLOOKUP($A33,'liste reference'!$A$7:$P$904,3,0)),"")</f>
        <v>13</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Stigeoclonium sp.</v>
      </c>
      <c r="L33" s="333"/>
      <c r="M33" s="333"/>
      <c r="N33" s="333"/>
      <c r="O33" s="367"/>
      <c r="P33" s="367">
        <f>IF($A33="NEWCOD",IF($AC33="","No",$AC33),IF(ISTEXT($E33),"DEJA SAISI !",IF($A33="","",IF(ISERROR(VLOOKUP($A33,'liste reference'!A:S,19,FALSE)),IF(ISERROR(VLOOKUP($A33,'liste reference'!B:S,19,FALSE)),"",VLOOKUP($A33,'liste reference'!B:S,19,FALSE)),VLOOKUP($A33,'liste reference'!A:S,19,FALSE)))))</f>
        <v>1119</v>
      </c>
      <c r="Q33" s="222">
        <f t="shared" si="2"/>
        <v>0.00315</v>
      </c>
      <c r="R33" s="223">
        <f t="shared" si="3"/>
        <v>1</v>
      </c>
      <c r="S33" s="223">
        <f t="shared" si="4"/>
        <v>13</v>
      </c>
      <c r="T33" s="223">
        <f t="shared" si="5"/>
        <v>26</v>
      </c>
      <c r="U33" s="225">
        <f t="shared" si="6"/>
        <v>2</v>
      </c>
      <c r="V33" s="287">
        <f t="shared" si="7"/>
      </c>
      <c r="W33" s="289" t="s">
        <v>1130</v>
      </c>
      <c r="Y33" s="324" t="str">
        <f>IF(A33="new.cod","NEWCOD",IF(AND((Z33=""),ISTEXT(A33)),A33,IF(Z33="","",INDEX('liste reference'!$A$8:$A$904,Z33))))</f>
        <v>STISPX</v>
      </c>
      <c r="Z33" s="183">
        <f>IF(ISERROR(MATCH(A33,'liste reference'!$A$8:$A$904,0)),IF(ISERROR(MATCH(A33,'liste reference'!$B$8:$B$904,0)),"",(MATCH(A33,'liste reference'!$B$8:$B$904,0))),(MATCH(A33,'liste reference'!$A$8:$A$904,0)))</f>
        <v>71</v>
      </c>
      <c r="AA33" s="385"/>
      <c r="AB33" s="372"/>
      <c r="AC33" s="372"/>
      <c r="BB33" s="183">
        <f t="shared" si="8"/>
        <v>1</v>
      </c>
    </row>
    <row r="34" spans="1:54" ht="12.75">
      <c r="A34" s="322" t="s">
        <v>967</v>
      </c>
      <c r="B34" s="241">
        <v>4</v>
      </c>
      <c r="C34" s="242">
        <v>1</v>
      </c>
      <c r="D34" s="221" t="str">
        <f>IF(ISERROR(VLOOKUP($A34,'liste reference'!$A$7:$D$904,2,0)),IF(ISERROR(VLOOKUP($A34,'liste reference'!$B$7:$D$904,1,0)),"",VLOOKUP($A34,'liste reference'!$B$7:$D$904,1,0)),VLOOKUP($A34,'liste reference'!$A$7:$D$904,2,0))</f>
        <v>Zygnema sp.</v>
      </c>
      <c r="E34" s="224" t="e">
        <f>IF(D34="",,VLOOKUP(D34,D$22:D33,1,0))</f>
        <v>#N/A</v>
      </c>
      <c r="F34" s="39">
        <f t="shared" si="1"/>
        <v>2.89</v>
      </c>
      <c r="G34" s="507" t="str">
        <f>IF(A34="","",IF(ISERROR(VLOOKUP($A34,'liste reference'!$A$7:$P$904,13,0)),IF(ISERROR(VLOOKUP($A34,'liste reference'!$B$7:$P$904,12,0)),"    -",VLOOKUP($A34,'liste reference'!$B$7:$P$904,12,0)),VLOOKUP($A34,'liste reference'!$A$7:$P$904,13,0)))</f>
        <v>ALG</v>
      </c>
      <c r="H34" s="508">
        <f>IF(A34="","x",IF(ISERROR(VLOOKUP($A34,'liste reference'!$A$8:$P$904,14,0)),IF(ISERROR(VLOOKUP($A34,'liste reference'!$B$8:$P$904,13,0)),"x",VLOOKUP($A34,'liste reference'!$B$8:$P$904,13,0)),VLOOKUP($A34,'liste reference'!$A$8:$P$904,14,0)))</f>
        <v>2</v>
      </c>
      <c r="I34" s="509">
        <f>IF(ISNUMBER(H34),IF(ISERROR(VLOOKUP($A34,'liste reference'!$A$7:$P$904,3,0)),IF(ISERROR(VLOOKUP($A34,'liste reference'!$B$7:$P$904,2,0)),"",VLOOKUP($A34,'liste reference'!$B$7:$P$904,2,0)),VLOOKUP($A34,'liste reference'!$A$7:$P$904,3,0)),"")</f>
        <v>13</v>
      </c>
      <c r="J34" s="509">
        <f>IF(ISNUMBER(H34),IF(ISERROR(VLOOKUP($A34,'liste reference'!$A$7:$P$904,4,0)),IF(ISERROR(VLOOKUP($A34,'liste reference'!$B$7:$P$904,3,0)),"",VLOOKUP($A34,'liste reference'!$B$7:$P$904,3,0)),VLOOKUP($A34,'liste reference'!$A$7:$P$904,4,0)),"")</f>
        <v>3</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Zygnema sp.</v>
      </c>
      <c r="L34" s="333"/>
      <c r="M34" s="333"/>
      <c r="N34" s="333"/>
      <c r="O34" s="367"/>
      <c r="P34" s="367">
        <f>IF($A34="NEWCOD",IF($AC34="","No",$AC34),IF(ISTEXT($E34),"DEJA SAISI !",IF($A34="","",IF(ISERROR(VLOOKUP($A34,'liste reference'!A:S,19,FALSE)),IF(ISERROR(VLOOKUP($A34,'liste reference'!B:S,19,FALSE)),"",VLOOKUP($A34,'liste reference'!B:S,19,FALSE)),VLOOKUP($A34,'liste reference'!A:S,19,FALSE)))))</f>
        <v>1148</v>
      </c>
      <c r="Q34" s="222">
        <f t="shared" si="2"/>
        <v>2.89</v>
      </c>
      <c r="R34" s="223">
        <f t="shared" si="3"/>
        <v>3</v>
      </c>
      <c r="S34" s="223">
        <f t="shared" si="4"/>
        <v>39</v>
      </c>
      <c r="T34" s="223">
        <f t="shared" si="5"/>
        <v>117</v>
      </c>
      <c r="U34" s="225">
        <f t="shared" si="6"/>
        <v>9</v>
      </c>
      <c r="V34" s="287">
        <f t="shared" si="7"/>
      </c>
      <c r="W34" s="290" t="s">
        <v>1130</v>
      </c>
      <c r="Y34" s="324" t="str">
        <f>IF(A34="new.cod","NEWCOD",IF(AND((Z34=""),ISTEXT(A34)),A34,IF(Z34="","",INDEX('liste reference'!$A$8:$A$904,Z34))))</f>
        <v>ZYGSPX</v>
      </c>
      <c r="Z34" s="183">
        <f>IF(ISERROR(MATCH(A34,'liste reference'!$A$8:$A$904,0)),IF(ISERROR(MATCH(A34,'liste reference'!$B$8:$B$904,0)),"",(MATCH(A34,'liste reference'!$B$8:$B$904,0))),(MATCH(A34,'liste reference'!$A$8:$A$904,0)))</f>
        <v>83</v>
      </c>
      <c r="AA34" s="385"/>
      <c r="AB34" s="372"/>
      <c r="AC34" s="372"/>
      <c r="BB34" s="183">
        <f t="shared" si="8"/>
        <v>1</v>
      </c>
    </row>
    <row r="35" spans="1:54" ht="12.75">
      <c r="A35" s="322" t="s">
        <v>691</v>
      </c>
      <c r="B35" s="241"/>
      <c r="C35" s="242">
        <v>0.005</v>
      </c>
      <c r="D35" s="221" t="str">
        <f>IF(ISERROR(VLOOKUP($A35,'liste reference'!$A$7:$D$904,2,0)),IF(ISERROR(VLOOKUP($A35,'liste reference'!$B$7:$D$904,1,0)),"",VLOOKUP($A35,'liste reference'!$B$7:$D$904,1,0)),VLOOKUP($A35,'liste reference'!$A$7:$D$904,2,0))</f>
        <v>Equisetum arvense</v>
      </c>
      <c r="E35" s="224" t="e">
        <f>IF(D35="",,VLOOKUP(D35,D$20:D22,1,0))</f>
        <v>#N/A</v>
      </c>
      <c r="F35" s="39">
        <f t="shared" si="1"/>
        <v>0.00185</v>
      </c>
      <c r="G35" s="507" t="str">
        <f>IF(A35="","",IF(ISERROR(VLOOKUP($A35,'liste reference'!$A$7:$P$904,13,0)),IF(ISERROR(VLOOKUP($A35,'liste reference'!$B$7:$P$904,12,0)),"    -",VLOOKUP($A35,'liste reference'!$B$7:$P$904,12,0)),VLOOKUP($A35,'liste reference'!$A$7:$P$904,13,0)))</f>
        <v>PTE</v>
      </c>
      <c r="H35" s="508">
        <f>IF(A35="","x",IF(ISERROR(VLOOKUP($A35,'liste reference'!$A$8:$P$904,14,0)),IF(ISERROR(VLOOKUP($A35,'liste reference'!$B$8:$P$904,13,0)),"x",VLOOKUP($A35,'liste reference'!$B$8:$P$904,13,0)),VLOOKUP($A35,'liste reference'!$A$8:$P$904,14,0)))</f>
        <v>6</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Equisetum arvense</v>
      </c>
      <c r="L35" s="333"/>
      <c r="M35" s="333"/>
      <c r="N35" s="333"/>
      <c r="O35" s="367"/>
      <c r="P35" s="367">
        <f>IF($A35="NEWCOD",IF($AC35="","No",$AC35),IF(ISTEXT($E35),"DEJA SAISI !",IF($A35="","",IF(ISERROR(VLOOKUP($A35,'liste reference'!A:S,19,FALSE)),IF(ISERROR(VLOOKUP($A35,'liste reference'!B:S,19,FALSE)),"",VLOOKUP($A35,'liste reference'!B:S,19,FALSE)),VLOOKUP($A35,'liste reference'!A:S,19,FALSE)))))</f>
        <v>1384</v>
      </c>
      <c r="Q35" s="222">
        <f t="shared" si="2"/>
        <v>0.00185</v>
      </c>
      <c r="R35" s="223">
        <f t="shared" si="3"/>
        <v>1</v>
      </c>
      <c r="S35" s="223">
        <f t="shared" si="4"/>
        <v>0</v>
      </c>
      <c r="T35" s="223">
        <f t="shared" si="5"/>
        <v>0</v>
      </c>
      <c r="U35" s="225">
        <f t="shared" si="6"/>
        <v>0</v>
      </c>
      <c r="V35" s="287">
        <f t="shared" si="7"/>
      </c>
      <c r="W35" s="289" t="s">
        <v>1130</v>
      </c>
      <c r="Y35" s="324" t="str">
        <f>IF(A35="new.cod","NEWCOD",IF(AND((Z35=""),ISTEXT(A35)),A35,IF(Z35="","",INDEX('liste reference'!$A$8:$A$904,Z35))))</f>
        <v>EQUARV</v>
      </c>
      <c r="Z35" s="183">
        <f>IF(ISERROR(MATCH(A35,'liste reference'!$A$8:$A$904,0)),IF(ISERROR(MATCH(A35,'liste reference'!$B$8:$B$904,0)),"",(MATCH(A35,'liste reference'!$B$8:$B$904,0))),(MATCH(A35,'liste reference'!$A$8:$A$904,0)))</f>
        <v>278</v>
      </c>
      <c r="AA35" s="385"/>
      <c r="AB35" s="372"/>
      <c r="AC35" s="372"/>
      <c r="BB35" s="183">
        <f t="shared" si="8"/>
        <v>1</v>
      </c>
    </row>
    <row r="36" spans="1:54" ht="12.75">
      <c r="A36" s="322" t="s">
        <v>524</v>
      </c>
      <c r="B36" s="241">
        <v>0.05</v>
      </c>
      <c r="C36" s="242">
        <v>0.05</v>
      </c>
      <c r="D36" s="221" t="str">
        <f>IF(ISERROR(VLOOKUP($A36,'liste reference'!$A$7:$D$904,2,0)),IF(ISERROR(VLOOKUP($A36,'liste reference'!$B$7:$D$904,1,0)),"",VLOOKUP($A36,'liste reference'!$B$7:$D$904,1,0)),VLOOKUP($A36,'liste reference'!$A$7:$D$904,2,0))</f>
        <v>Apium nodiflorum</v>
      </c>
      <c r="E36" s="224" t="e">
        <f>IF(D36="",,VLOOKUP(D36,D$22:D35,1,0))</f>
        <v>#N/A</v>
      </c>
      <c r="F36" s="39">
        <f t="shared" si="1"/>
        <v>0.05</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10</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Apium nodiflorum</v>
      </c>
      <c r="L36" s="333"/>
      <c r="M36" s="333"/>
      <c r="N36" s="333"/>
      <c r="O36" s="367"/>
      <c r="P36" s="367">
        <f>IF($A36="NEWCOD",IF($AC36="","No",$AC36),IF(ISTEXT($E36),"DEJA SAISI !",IF($A36="","",IF(ISERROR(VLOOKUP($A36,'liste reference'!A:S,19,FALSE)),IF(ISERROR(VLOOKUP($A36,'liste reference'!B:S,19,FALSE)),"",VLOOKUP($A36,'liste reference'!B:S,19,FALSE)),VLOOKUP($A36,'liste reference'!A:S,19,FALSE)))))</f>
        <v>1974</v>
      </c>
      <c r="Q36" s="222">
        <f t="shared" si="2"/>
        <v>0.05</v>
      </c>
      <c r="R36" s="223">
        <f t="shared" si="3"/>
        <v>1</v>
      </c>
      <c r="S36" s="223">
        <f t="shared" si="4"/>
        <v>10</v>
      </c>
      <c r="T36" s="223">
        <f t="shared" si="5"/>
        <v>10</v>
      </c>
      <c r="U36" s="225">
        <f t="shared" si="6"/>
        <v>1</v>
      </c>
      <c r="V36" s="287">
        <f t="shared" si="7"/>
      </c>
      <c r="W36" s="289" t="s">
        <v>1130</v>
      </c>
      <c r="Y36" s="324" t="str">
        <f>IF(A36="new.cod","NEWCOD",IF(AND((Z36=""),ISTEXT(A36)),A36,IF(Z36="","",INDEX('liste reference'!$A$8:$A$904,Z36))))</f>
        <v>APINOD</v>
      </c>
      <c r="Z36" s="183">
        <f>IF(ISERROR(MATCH(A36,'liste reference'!$A$8:$A$904,0)),IF(ISERROR(MATCH(A36,'liste reference'!$B$8:$B$904,0)),"",(MATCH(A36,'liste reference'!$B$8:$B$904,0))),(MATCH(A36,'liste reference'!$A$8:$A$904,0)))</f>
        <v>309</v>
      </c>
      <c r="AA36" s="385"/>
      <c r="AB36" s="372"/>
      <c r="AC36" s="372"/>
      <c r="BB36" s="183">
        <f t="shared" si="8"/>
        <v>1</v>
      </c>
    </row>
    <row r="37" spans="1:54" ht="12.75">
      <c r="A37" s="322" t="s">
        <v>536</v>
      </c>
      <c r="B37" s="241"/>
      <c r="C37" s="242">
        <v>0.005</v>
      </c>
      <c r="D37" s="221" t="str">
        <f>IF(ISERROR(VLOOKUP($A37,'liste reference'!$A$7:$D$904,2,0)),IF(ISERROR(VLOOKUP($A37,'liste reference'!$B$7:$D$904,1,0)),"",VLOOKUP($A37,'liste reference'!$B$7:$D$904,1,0)),VLOOKUP($A37,'liste reference'!$A$7:$D$904,2,0))</f>
        <v>Callitriche obtusangula</v>
      </c>
      <c r="E37" s="224" t="e">
        <f>IF(D37="",,VLOOKUP(D37,D$22:D36,1,0))</f>
        <v>#N/A</v>
      </c>
      <c r="F37" s="39">
        <f t="shared" si="1"/>
        <v>0.00185</v>
      </c>
      <c r="G37" s="507" t="str">
        <f>IF(A37="","",IF(ISERROR(VLOOKUP($A37,'liste reference'!$A$7:$P$904,13,0)),IF(ISERROR(VLOOKUP($A37,'liste reference'!$B$7:$P$904,12,0)),"    -",VLOOKUP($A37,'liste reference'!$B$7:$P$904,12,0)),VLOOKUP($A37,'liste reference'!$A$7:$P$904,13,0)))</f>
        <v>PHy</v>
      </c>
      <c r="H37" s="508">
        <f>IF(A37="","x",IF(ISERROR(VLOOKUP($A37,'liste reference'!$A$8:$P$904,14,0)),IF(ISERROR(VLOOKUP($A37,'liste reference'!$B$8:$P$904,13,0)),"x",VLOOKUP($A37,'liste reference'!$B$8:$P$904,13,0)),VLOOKUP($A37,'liste reference'!$A$8:$P$904,14,0)))</f>
        <v>7</v>
      </c>
      <c r="I37" s="509">
        <f>IF(ISNUMBER(H37),IF(ISERROR(VLOOKUP($A37,'liste reference'!$A$7:$P$904,3,0)),IF(ISERROR(VLOOKUP($A37,'liste reference'!$B$7:$P$904,2,0)),"",VLOOKUP($A37,'liste reference'!$B$7:$P$904,2,0)),VLOOKUP($A37,'liste reference'!$A$7:$P$904,3,0)),"")</f>
        <v>8</v>
      </c>
      <c r="J37" s="509">
        <f>IF(ISNUMBER(H37),IF(ISERROR(VLOOKUP($A37,'liste reference'!$A$7:$P$904,4,0)),IF(ISERROR(VLOOKUP($A37,'liste reference'!$B$7:$P$904,3,0)),"",VLOOKUP($A37,'liste reference'!$B$7:$P$904,3,0)),VLOOKUP($A37,'liste reference'!$A$7:$P$904,4,0)),"")</f>
        <v>2</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Callitriche obtusangula</v>
      </c>
      <c r="L37" s="332"/>
      <c r="M37" s="332"/>
      <c r="N37" s="332"/>
      <c r="O37" s="367"/>
      <c r="P37" s="368">
        <f>IF($A37="NEWCOD",IF($AC37="","No",$AC37),IF(ISTEXT($E37),"DEJA SAISI !",IF($A37="","",IF(ISERROR(VLOOKUP($A37,'liste reference'!A:S,19,FALSE)),IF(ISERROR(VLOOKUP($A37,'liste reference'!B:S,19,FALSE)),"",VLOOKUP($A37,'liste reference'!B:S,19,FALSE)),VLOOKUP($A37,'liste reference'!A:S,19,FALSE)))))</f>
        <v>1700</v>
      </c>
      <c r="Q37" s="222">
        <f t="shared" si="2"/>
        <v>0.00185</v>
      </c>
      <c r="R37" s="223">
        <f t="shared" si="3"/>
        <v>1</v>
      </c>
      <c r="S37" s="223">
        <f t="shared" si="4"/>
        <v>8</v>
      </c>
      <c r="T37" s="223">
        <f t="shared" si="5"/>
        <v>16</v>
      </c>
      <c r="U37" s="225">
        <f t="shared" si="6"/>
        <v>2</v>
      </c>
      <c r="V37" s="287">
        <f t="shared" si="7"/>
      </c>
      <c r="W37" s="289" t="s">
        <v>1130</v>
      </c>
      <c r="Y37" s="324" t="str">
        <f>IF(A37="new.cod","NEWCOD",IF(AND((Z37=""),ISTEXT(A37)),A37,IF(Z37="","",INDEX('liste reference'!$A$8:$A$904,Z37))))</f>
        <v>CALOBT</v>
      </c>
      <c r="Z37" s="183">
        <f>IF(ISERROR(MATCH(A37,'liste reference'!$A$8:$A$904,0)),IF(ISERROR(MATCH(A37,'liste reference'!$B$8:$B$904,0)),"",(MATCH(A37,'liste reference'!$B$8:$B$904,0))),(MATCH(A37,'liste reference'!$A$8:$A$904,0)))</f>
        <v>320</v>
      </c>
      <c r="AA37" s="385"/>
      <c r="AB37" s="372"/>
      <c r="AC37" s="372"/>
      <c r="BB37" s="183">
        <f t="shared" si="8"/>
        <v>1</v>
      </c>
    </row>
    <row r="38" spans="1:54" ht="12.75">
      <c r="A38" s="322" t="s">
        <v>542</v>
      </c>
      <c r="B38" s="241"/>
      <c r="C38" s="242">
        <v>0.005</v>
      </c>
      <c r="D38" s="221" t="str">
        <f>IF(ISERROR(VLOOKUP($A38,'liste reference'!$A$7:$D$904,2,0)),IF(ISERROR(VLOOKUP($A38,'liste reference'!$B$7:$D$904,1,0)),"",VLOOKUP($A38,'liste reference'!$B$7:$D$904,1,0)),VLOOKUP($A38,'liste reference'!$A$7:$D$904,2,0))</f>
        <v>Ceratophyllum demersum</v>
      </c>
      <c r="E38" s="224" t="e">
        <f>IF(D38="",,VLOOKUP(D38,D$22:D37,1,0))</f>
        <v>#N/A</v>
      </c>
      <c r="F38" s="39">
        <f t="shared" si="1"/>
        <v>0.00185</v>
      </c>
      <c r="G38" s="507" t="str">
        <f>IF(A38="","",IF(ISERROR(VLOOKUP($A38,'liste reference'!$A$7:$P$904,13,0)),IF(ISERROR(VLOOKUP($A38,'liste reference'!$B$7:$P$904,12,0)),"    -",VLOOKUP($A38,'liste reference'!$B$7:$P$904,12,0)),VLOOKUP($A38,'liste reference'!$A$7:$P$904,13,0)))</f>
        <v>PHy</v>
      </c>
      <c r="H38" s="508">
        <f>IF(A38="","x",IF(ISERROR(VLOOKUP($A38,'liste reference'!$A$8:$P$904,14,0)),IF(ISERROR(VLOOKUP($A38,'liste reference'!$B$8:$P$904,13,0)),"x",VLOOKUP($A38,'liste reference'!$B$8:$P$904,13,0)),VLOOKUP($A38,'liste reference'!$A$8:$P$904,14,0)))</f>
        <v>7</v>
      </c>
      <c r="I38" s="509">
        <f>IF(ISNUMBER(H38),IF(ISERROR(VLOOKUP($A38,'liste reference'!$A$7:$P$904,3,0)),IF(ISERROR(VLOOKUP($A38,'liste reference'!$B$7:$P$904,2,0)),"",VLOOKUP($A38,'liste reference'!$B$7:$P$904,2,0)),VLOOKUP($A38,'liste reference'!$A$7:$P$904,3,0)),"")</f>
        <v>5</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Ceratophyllum demersum</v>
      </c>
      <c r="L38" s="333"/>
      <c r="M38" s="333"/>
      <c r="N38" s="333"/>
      <c r="O38" s="367"/>
      <c r="P38" s="367">
        <f>IF($A38="NEWCOD",IF($AC38="","No",$AC38),IF(ISTEXT($E38),"DEJA SAISI !",IF($A38="","",IF(ISERROR(VLOOKUP($A38,'liste reference'!A:S,19,FALSE)),IF(ISERROR(VLOOKUP($A38,'liste reference'!B:S,19,FALSE)),"",VLOOKUP($A38,'liste reference'!B:S,19,FALSE)),VLOOKUP($A38,'liste reference'!A:S,19,FALSE)))))</f>
        <v>1717</v>
      </c>
      <c r="Q38" s="222">
        <f t="shared" si="2"/>
        <v>0.00185</v>
      </c>
      <c r="R38" s="223">
        <f t="shared" si="3"/>
        <v>1</v>
      </c>
      <c r="S38" s="223">
        <f t="shared" si="4"/>
        <v>5</v>
      </c>
      <c r="T38" s="223">
        <f t="shared" si="5"/>
        <v>10</v>
      </c>
      <c r="U38" s="225">
        <f t="shared" si="6"/>
        <v>2</v>
      </c>
      <c r="V38" s="287">
        <f t="shared" si="7"/>
      </c>
      <c r="W38" s="289" t="s">
        <v>1130</v>
      </c>
      <c r="Y38" s="324" t="str">
        <f>IF(A38="new.cod","NEWCOD",IF(AND((Z38=""),ISTEXT(A38)),A38,IF(Z38="","",INDEX('liste reference'!$A$8:$A$904,Z38))))</f>
        <v>CERDEM</v>
      </c>
      <c r="Z38" s="183">
        <f>IF(ISERROR(MATCH(A38,'liste reference'!$A$8:$A$904,0)),IF(ISERROR(MATCH(A38,'liste reference'!$B$8:$B$904,0)),"",(MATCH(A38,'liste reference'!$B$8:$B$904,0))),(MATCH(A38,'liste reference'!$A$8:$A$904,0)))</f>
        <v>330</v>
      </c>
      <c r="AA38" s="385"/>
      <c r="AB38" s="372"/>
      <c r="AC38" s="372"/>
      <c r="BB38" s="183">
        <f t="shared" si="8"/>
        <v>1</v>
      </c>
    </row>
    <row r="39" spans="1:54" ht="12.75">
      <c r="A39" s="322" t="s">
        <v>555</v>
      </c>
      <c r="B39" s="241">
        <v>0.005</v>
      </c>
      <c r="C39" s="242">
        <v>0.2</v>
      </c>
      <c r="D39" s="221" t="str">
        <f>IF(ISERROR(VLOOKUP($A39,'liste reference'!$A$7:$D$904,2,0)),IF(ISERROR(VLOOKUP($A39,'liste reference'!$B$7:$D$904,1,0)),"",VLOOKUP($A39,'liste reference'!$B$7:$D$904,1,0)),VLOOKUP($A39,'liste reference'!$A$7:$D$904,2,0))</f>
        <v>Groenlandia densa</v>
      </c>
      <c r="E39" s="224" t="e">
        <f>IF(D39="",,VLOOKUP(D39,D$22:D38,1,0))</f>
        <v>#N/A</v>
      </c>
      <c r="F39" s="39">
        <f t="shared" si="1"/>
        <v>0.07715000000000001</v>
      </c>
      <c r="G39" s="507" t="str">
        <f>IF(A39="","",IF(ISERROR(VLOOKUP($A39,'liste reference'!$A$7:$P$904,13,0)),IF(ISERROR(VLOOKUP($A39,'liste reference'!$B$7:$P$904,12,0)),"    -",VLOOKUP($A39,'liste reference'!$B$7:$P$904,12,0)),VLOOKUP($A39,'liste reference'!$A$7:$P$904,13,0)))</f>
        <v>PHy</v>
      </c>
      <c r="H39" s="508">
        <f>IF(A39="","x",IF(ISERROR(VLOOKUP($A39,'liste reference'!$A$8:$P$904,14,0)),IF(ISERROR(VLOOKUP($A39,'liste reference'!$B$8:$P$904,13,0)),"x",VLOOKUP($A39,'liste reference'!$B$8:$P$904,13,0)),VLOOKUP($A39,'liste reference'!$A$8:$P$904,14,0)))</f>
        <v>7</v>
      </c>
      <c r="I39" s="509">
        <f>IF(ISNUMBER(H39),IF(ISERROR(VLOOKUP($A39,'liste reference'!$A$7:$P$904,3,0)),IF(ISERROR(VLOOKUP($A39,'liste reference'!$B$7:$P$904,2,0)),"",VLOOKUP($A39,'liste reference'!$B$7:$P$904,2,0)),VLOOKUP($A39,'liste reference'!$A$7:$P$904,3,0)),"")</f>
        <v>11</v>
      </c>
      <c r="J39" s="509">
        <f>IF(ISNUMBER(H39),IF(ISERROR(VLOOKUP($A39,'liste reference'!$A$7:$P$904,4,0)),IF(ISERROR(VLOOKUP($A39,'liste reference'!$B$7:$P$904,3,0)),"",VLOOKUP($A39,'liste reference'!$B$7:$P$904,3,0)),VLOOKUP($A39,'liste reference'!$A$7:$P$904,4,0)),"")</f>
        <v>2</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Groenlandia densa</v>
      </c>
      <c r="L39" s="333"/>
      <c r="M39" s="333"/>
      <c r="N39" s="333"/>
      <c r="O39" s="367"/>
      <c r="P39" s="367">
        <f>IF($A39="NEWCOD",IF($AC39="","No",$AC39),IF(ISTEXT($E39),"DEJA SAISI !",IF($A39="","",IF(ISERROR(VLOOKUP($A39,'liste reference'!A:S,19,FALSE)),IF(ISERROR(VLOOKUP($A39,'liste reference'!B:S,19,FALSE)),"",VLOOKUP($A39,'liste reference'!B:S,19,FALSE)),VLOOKUP($A39,'liste reference'!A:S,19,FALSE)))))</f>
        <v>1638</v>
      </c>
      <c r="Q39" s="222">
        <f t="shared" si="2"/>
        <v>0.07715000000000001</v>
      </c>
      <c r="R39" s="223">
        <f t="shared" si="3"/>
        <v>1</v>
      </c>
      <c r="S39" s="223">
        <f t="shared" si="4"/>
        <v>11</v>
      </c>
      <c r="T39" s="223">
        <f t="shared" si="5"/>
        <v>22</v>
      </c>
      <c r="U39" s="225">
        <f t="shared" si="6"/>
        <v>2</v>
      </c>
      <c r="V39" s="287">
        <f t="shared" si="7"/>
      </c>
      <c r="W39" s="289" t="s">
        <v>1130</v>
      </c>
      <c r="Y39" s="324" t="str">
        <f>IF(A39="new.cod","NEWCOD",IF(AND((Z39=""),ISTEXT(A39)),A39,IF(Z39="","",INDEX('liste reference'!$A$8:$A$904,Z39))))</f>
        <v>GRODEN</v>
      </c>
      <c r="Z39" s="183">
        <f>IF(ISERROR(MATCH(A39,'liste reference'!$A$8:$A$904,0)),IF(ISERROR(MATCH(A39,'liste reference'!$B$8:$B$904,0)),"",(MATCH(A39,'liste reference'!$B$8:$B$904,0))),(MATCH(A39,'liste reference'!$A$8:$A$904,0)))</f>
        <v>345</v>
      </c>
      <c r="AA39" s="385"/>
      <c r="AB39" s="372"/>
      <c r="AC39" s="372"/>
      <c r="BB39" s="183">
        <f t="shared" si="8"/>
        <v>1</v>
      </c>
    </row>
    <row r="40" spans="1:54" ht="12.75">
      <c r="A40" s="322" t="s">
        <v>567</v>
      </c>
      <c r="B40" s="241">
        <v>0.005</v>
      </c>
      <c r="C40" s="242">
        <v>0.005</v>
      </c>
      <c r="D40" s="221" t="str">
        <f>IF(ISERROR(VLOOKUP($A40,'liste reference'!$A$7:$D$904,2,0)),IF(ISERROR(VLOOKUP($A40,'liste reference'!$B$7:$D$904,1,0)),"",VLOOKUP($A40,'liste reference'!$B$7:$D$904,1,0)),VLOOKUP($A40,'liste reference'!$A$7:$D$904,2,0))</f>
        <v>Lemna minor</v>
      </c>
      <c r="E40" s="224" t="e">
        <f>IF(D40="",,VLOOKUP(D40,D$22:D39,1,0))</f>
        <v>#N/A</v>
      </c>
      <c r="F40" s="39">
        <f t="shared" si="1"/>
        <v>0.005</v>
      </c>
      <c r="G40" s="507" t="str">
        <f>IF(A40="","",IF(ISERROR(VLOOKUP($A40,'liste reference'!$A$7:$P$904,13,0)),IF(ISERROR(VLOOKUP($A40,'liste reference'!$B$7:$P$904,12,0)),"    -",VLOOKUP($A40,'liste reference'!$B$7:$P$904,12,0)),VLOOKUP($A40,'liste reference'!$A$7:$P$904,13,0)))</f>
        <v>PHy</v>
      </c>
      <c r="H40" s="508">
        <f>IF(A40="","x",IF(ISERROR(VLOOKUP($A40,'liste reference'!$A$8:$P$904,14,0)),IF(ISERROR(VLOOKUP($A40,'liste reference'!$B$8:$P$904,13,0)),"x",VLOOKUP($A40,'liste reference'!$B$8:$P$904,13,0)),VLOOKUP($A40,'liste reference'!$A$8:$P$904,14,0)))</f>
        <v>7</v>
      </c>
      <c r="I40" s="509">
        <f>IF(ISNUMBER(H40),IF(ISERROR(VLOOKUP($A40,'liste reference'!$A$7:$P$904,3,0)),IF(ISERROR(VLOOKUP($A40,'liste reference'!$B$7:$P$904,2,0)),"",VLOOKUP($A40,'liste reference'!$B$7:$P$904,2,0)),VLOOKUP($A40,'liste reference'!$A$7:$P$904,3,0)),"")</f>
        <v>10</v>
      </c>
      <c r="J40" s="509">
        <f>IF(ISNUMBER(H40),IF(ISERROR(VLOOKUP($A40,'liste reference'!$A$7:$P$904,4,0)),IF(ISERROR(VLOOKUP($A40,'liste reference'!$B$7:$P$904,3,0)),"",VLOOKUP($A40,'liste reference'!$B$7:$P$904,3,0)),VLOOKUP($A40,'liste reference'!$A$7:$P$904,4,0)),"")</f>
        <v>1</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Lemna minor</v>
      </c>
      <c r="L40" s="333"/>
      <c r="M40" s="333"/>
      <c r="N40" s="333"/>
      <c r="O40" s="367"/>
      <c r="P40" s="367">
        <f>IF($A40="NEWCOD",IF($AC40="","No",$AC40),IF(ISTEXT($E40),"DEJA SAISI !",IF($A40="","",IF(ISERROR(VLOOKUP($A40,'liste reference'!A:S,19,FALSE)),IF(ISERROR(VLOOKUP($A40,'liste reference'!B:S,19,FALSE)),"",VLOOKUP($A40,'liste reference'!B:S,19,FALSE)),VLOOKUP($A40,'liste reference'!A:S,19,FALSE)))))</f>
        <v>1626</v>
      </c>
      <c r="Q40" s="222">
        <f t="shared" si="2"/>
        <v>0.005</v>
      </c>
      <c r="R40" s="223">
        <f t="shared" si="3"/>
        <v>1</v>
      </c>
      <c r="S40" s="223">
        <f t="shared" si="4"/>
        <v>10</v>
      </c>
      <c r="T40" s="223">
        <f t="shared" si="5"/>
        <v>10</v>
      </c>
      <c r="U40" s="225">
        <f t="shared" si="6"/>
        <v>1</v>
      </c>
      <c r="V40" s="287">
        <f t="shared" si="7"/>
      </c>
      <c r="W40" s="289" t="s">
        <v>1130</v>
      </c>
      <c r="Y40" s="324" t="str">
        <f>IF(A40="new.cod","NEWCOD",IF(AND((Z40=""),ISTEXT(A40)),A40,IF(Z40="","",INDEX('liste reference'!$A$8:$A$904,Z40))))</f>
        <v>LEMMIN</v>
      </c>
      <c r="Z40" s="183">
        <f>IF(ISERROR(MATCH(A40,'liste reference'!$A$8:$A$904,0)),IF(ISERROR(MATCH(A40,'liste reference'!$B$8:$B$904,0)),"",(MATCH(A40,'liste reference'!$B$8:$B$904,0))),(MATCH(A40,'liste reference'!$A$8:$A$904,0)))</f>
        <v>357</v>
      </c>
      <c r="AA40" s="385"/>
      <c r="AB40" s="372"/>
      <c r="AC40" s="372"/>
      <c r="BB40" s="183">
        <f t="shared" si="8"/>
        <v>1</v>
      </c>
    </row>
    <row r="41" spans="1:54" ht="12.75">
      <c r="A41" s="322" t="s">
        <v>583</v>
      </c>
      <c r="B41" s="241">
        <v>0.005</v>
      </c>
      <c r="C41" s="242">
        <v>0.3</v>
      </c>
      <c r="D41" s="221" t="str">
        <f>IF(ISERROR(VLOOKUP($A41,'liste reference'!$A$7:$D$904,2,0)),IF(ISERROR(VLOOKUP($A41,'liste reference'!$B$7:$D$904,1,0)),"",VLOOKUP($A41,'liste reference'!$B$7:$D$904,1,0)),VLOOKUP($A41,'liste reference'!$A$7:$D$904,2,0))</f>
        <v>Myriophyllum spicatum</v>
      </c>
      <c r="E41" s="224" t="e">
        <f>IF(D41="",,VLOOKUP(D41,D$22:D40,1,0))</f>
        <v>#N/A</v>
      </c>
      <c r="F41" s="39">
        <f t="shared" si="1"/>
        <v>0.11414999999999999</v>
      </c>
      <c r="G41" s="507" t="str">
        <f>IF(A41="","",IF(ISERROR(VLOOKUP($A41,'liste reference'!$A$7:$P$904,13,0)),IF(ISERROR(VLOOKUP($A41,'liste reference'!$B$7:$P$904,12,0)),"    -",VLOOKUP($A41,'liste reference'!$B$7:$P$904,12,0)),VLOOKUP($A41,'liste reference'!$A$7:$P$904,13,0)))</f>
        <v>PHy</v>
      </c>
      <c r="H41" s="508">
        <f>IF(A41="","x",IF(ISERROR(VLOOKUP($A41,'liste reference'!$A$8:$P$904,14,0)),IF(ISERROR(VLOOKUP($A41,'liste reference'!$B$8:$P$904,13,0)),"x",VLOOKUP($A41,'liste reference'!$B$8:$P$904,13,0)),VLOOKUP($A41,'liste reference'!$A$8:$P$904,14,0)))</f>
        <v>7</v>
      </c>
      <c r="I41" s="509">
        <f>IF(ISNUMBER(H41),IF(ISERROR(VLOOKUP($A41,'liste reference'!$A$7:$P$904,3,0)),IF(ISERROR(VLOOKUP($A41,'liste reference'!$B$7:$P$904,2,0)),"",VLOOKUP($A41,'liste reference'!$B$7:$P$904,2,0)),VLOOKUP($A41,'liste reference'!$A$7:$P$904,3,0)),"")</f>
        <v>8</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Myriophyllum spicatum</v>
      </c>
      <c r="L41" s="333"/>
      <c r="M41" s="333"/>
      <c r="N41" s="333"/>
      <c r="O41" s="367"/>
      <c r="P41" s="367">
        <f>IF($A41="NEWCOD",IF($AC41="","No",$AC41),IF(ISTEXT($E41),"DEJA SAISI !",IF($A41="","",IF(ISERROR(VLOOKUP($A41,'liste reference'!A:S,19,FALSE)),IF(ISERROR(VLOOKUP($A41,'liste reference'!B:S,19,FALSE)),"",VLOOKUP($A41,'liste reference'!B:S,19,FALSE)),VLOOKUP($A41,'liste reference'!A:S,19,FALSE)))))</f>
        <v>1778</v>
      </c>
      <c r="Q41" s="222">
        <f t="shared" si="2"/>
        <v>0.11415</v>
      </c>
      <c r="R41" s="223">
        <f t="shared" si="3"/>
        <v>2</v>
      </c>
      <c r="S41" s="223">
        <f t="shared" si="4"/>
        <v>16</v>
      </c>
      <c r="T41" s="223">
        <f t="shared" si="5"/>
        <v>32</v>
      </c>
      <c r="U41" s="225">
        <f t="shared" si="6"/>
        <v>4</v>
      </c>
      <c r="V41" s="287">
        <f t="shared" si="7"/>
      </c>
      <c r="W41" s="289" t="s">
        <v>1130</v>
      </c>
      <c r="Y41" s="324" t="str">
        <f>IF(A41="new.cod","NEWCOD",IF(AND((Z41=""),ISTEXT(A41)),A41,IF(Z41="","",INDEX('liste reference'!$A$8:$A$904,Z41))))</f>
        <v>MYRSPI</v>
      </c>
      <c r="Z41" s="183">
        <f>IF(ISERROR(MATCH(A41,'liste reference'!$A$8:$A$904,0)),IF(ISERROR(MATCH(A41,'liste reference'!$B$8:$B$904,0)),"",(MATCH(A41,'liste reference'!$B$8:$B$904,0))),(MATCH(A41,'liste reference'!$A$8:$A$904,0)))</f>
        <v>373</v>
      </c>
      <c r="AA41" s="385"/>
      <c r="AB41" s="372"/>
      <c r="AC41" s="372"/>
      <c r="BB41" s="183">
        <f t="shared" si="8"/>
        <v>1</v>
      </c>
    </row>
    <row r="42" spans="1:54" ht="12.75">
      <c r="A42" s="322" t="s">
        <v>614</v>
      </c>
      <c r="B42" s="241"/>
      <c r="C42" s="242">
        <v>0.05</v>
      </c>
      <c r="D42" s="221" t="str">
        <f>IF(ISERROR(VLOOKUP($A42,'liste reference'!$A$7:$D$904,2,0)),IF(ISERROR(VLOOKUP($A42,'liste reference'!$B$7:$D$904,1,0)),"",VLOOKUP($A42,'liste reference'!$B$7:$D$904,1,0)),VLOOKUP($A42,'liste reference'!$A$7:$D$904,2,0))</f>
        <v>Potamogeton crispus</v>
      </c>
      <c r="E42" s="224" t="e">
        <f>IF(D42="",,VLOOKUP(D42,D$22:D41,1,0))</f>
        <v>#N/A</v>
      </c>
      <c r="F42" s="39">
        <f t="shared" si="1"/>
        <v>0.018500000000000003</v>
      </c>
      <c r="G42" s="507" t="str">
        <f>IF(A42="","",IF(ISERROR(VLOOKUP($A42,'liste reference'!$A$7:$P$904,13,0)),IF(ISERROR(VLOOKUP($A42,'liste reference'!$B$7:$P$904,12,0)),"    -",VLOOKUP($A42,'liste reference'!$B$7:$P$904,12,0)),VLOOKUP($A42,'liste reference'!$A$7:$P$904,13,0)))</f>
        <v>PHy</v>
      </c>
      <c r="H42" s="508">
        <f>IF(A42="","x",IF(ISERROR(VLOOKUP($A42,'liste reference'!$A$8:$P$904,14,0)),IF(ISERROR(VLOOKUP($A42,'liste reference'!$B$8:$P$904,13,0)),"x",VLOOKUP($A42,'liste reference'!$B$8:$P$904,13,0)),VLOOKUP($A42,'liste reference'!$A$8:$P$904,14,0)))</f>
        <v>7</v>
      </c>
      <c r="I42" s="509">
        <f>IF(ISNUMBER(H42),IF(ISERROR(VLOOKUP($A42,'liste reference'!$A$7:$P$904,3,0)),IF(ISERROR(VLOOKUP($A42,'liste reference'!$B$7:$P$904,2,0)),"",VLOOKUP($A42,'liste reference'!$B$7:$P$904,2,0)),VLOOKUP($A42,'liste reference'!$A$7:$P$904,3,0)),"")</f>
        <v>7</v>
      </c>
      <c r="J42" s="509">
        <f>IF(ISNUMBER(H42),IF(ISERROR(VLOOKUP($A42,'liste reference'!$A$7:$P$904,4,0)),IF(ISERROR(VLOOKUP($A42,'liste reference'!$B$7:$P$904,3,0)),"",VLOOKUP($A42,'liste reference'!$B$7:$P$904,3,0)),VLOOKUP($A42,'liste reference'!$A$7:$P$904,4,0)),"")</f>
        <v>2</v>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Potamogeton crispus</v>
      </c>
      <c r="L42" s="333"/>
      <c r="M42" s="333"/>
      <c r="N42" s="333"/>
      <c r="O42" s="367"/>
      <c r="P42" s="367">
        <f>IF($A42="NEWCOD",IF($AC42="","No",$AC42),IF(ISTEXT($E42),"DEJA SAISI !",IF($A42="","",IF(ISERROR(VLOOKUP($A42,'liste reference'!A:S,19,FALSE)),IF(ISERROR(VLOOKUP($A42,'liste reference'!B:S,19,FALSE)),"",VLOOKUP($A42,'liste reference'!B:S,19,FALSE)),VLOOKUP($A42,'liste reference'!A:S,19,FALSE)))))</f>
        <v>1645</v>
      </c>
      <c r="Q42" s="222">
        <f t="shared" si="2"/>
        <v>0.018500000000000003</v>
      </c>
      <c r="R42" s="223">
        <f t="shared" si="3"/>
        <v>1</v>
      </c>
      <c r="S42" s="223">
        <f t="shared" si="4"/>
        <v>7</v>
      </c>
      <c r="T42" s="223">
        <f t="shared" si="5"/>
        <v>14</v>
      </c>
      <c r="U42" s="225">
        <f t="shared" si="6"/>
        <v>2</v>
      </c>
      <c r="V42" s="287">
        <f t="shared" si="7"/>
      </c>
      <c r="W42" s="289" t="s">
        <v>1130</v>
      </c>
      <c r="Y42" s="324" t="str">
        <f>IF(A42="new.cod","NEWCOD",IF(AND((Z42=""),ISTEXT(A42)),A42,IF(Z42="","",INDEX('liste reference'!$A$8:$A$904,Z42))))</f>
        <v>POTCRI</v>
      </c>
      <c r="Z42" s="183">
        <f>IF(ISERROR(MATCH(A42,'liste reference'!$A$8:$A$904,0)),IF(ISERROR(MATCH(A42,'liste reference'!$B$8:$B$904,0)),"",(MATCH(A42,'liste reference'!$B$8:$B$904,0))),(MATCH(A42,'liste reference'!$A$8:$A$904,0)))</f>
        <v>409</v>
      </c>
      <c r="AA42" s="385"/>
      <c r="AB42" s="372"/>
      <c r="AC42" s="372"/>
      <c r="BB42" s="183">
        <f t="shared" si="8"/>
        <v>1</v>
      </c>
    </row>
    <row r="43" spans="1:54" ht="12.75">
      <c r="A43" s="322" t="s">
        <v>622</v>
      </c>
      <c r="B43" s="241">
        <v>0.04</v>
      </c>
      <c r="C43" s="242">
        <v>0.1</v>
      </c>
      <c r="D43" s="221" t="str">
        <f>IF(ISERROR(VLOOKUP($A43,'liste reference'!$A$7:$D$904,2,0)),IF(ISERROR(VLOOKUP($A43,'liste reference'!$B$7:$D$904,1,0)),"",VLOOKUP($A43,'liste reference'!$B$7:$D$904,1,0)),VLOOKUP($A43,'liste reference'!$A$7:$D$904,2,0))</f>
        <v>Potamogeton nodosus</v>
      </c>
      <c r="E43" s="224" t="e">
        <f>IF(D43="",,VLOOKUP(D43,D$22:D42,1,0))</f>
        <v>#N/A</v>
      </c>
      <c r="F43" s="39">
        <f t="shared" si="1"/>
        <v>0.062200000000000005</v>
      </c>
      <c r="G43" s="507" t="str">
        <f>IF(A43="","",IF(ISERROR(VLOOKUP($A43,'liste reference'!$A$7:$P$904,13,0)),IF(ISERROR(VLOOKUP($A43,'liste reference'!$B$7:$P$904,12,0)),"    -",VLOOKUP($A43,'liste reference'!$B$7:$P$904,12,0)),VLOOKUP($A43,'liste reference'!$A$7:$P$904,13,0)))</f>
        <v>PHy</v>
      </c>
      <c r="H43" s="508">
        <f>IF(A43="","x",IF(ISERROR(VLOOKUP($A43,'liste reference'!$A$8:$P$904,14,0)),IF(ISERROR(VLOOKUP($A43,'liste reference'!$B$8:$P$904,13,0)),"x",VLOOKUP($A43,'liste reference'!$B$8:$P$904,13,0)),VLOOKUP($A43,'liste reference'!$A$8:$P$904,14,0)))</f>
        <v>7</v>
      </c>
      <c r="I43" s="509">
        <f>IF(ISNUMBER(H43),IF(ISERROR(VLOOKUP($A43,'liste reference'!$A$7:$P$904,3,0)),IF(ISERROR(VLOOKUP($A43,'liste reference'!$B$7:$P$904,2,0)),"",VLOOKUP($A43,'liste reference'!$B$7:$P$904,2,0)),VLOOKUP($A43,'liste reference'!$A$7:$P$904,3,0)),"")</f>
        <v>4</v>
      </c>
      <c r="J43" s="509">
        <f>IF(ISNUMBER(H43),IF(ISERROR(VLOOKUP($A43,'liste reference'!$A$7:$P$904,4,0)),IF(ISERROR(VLOOKUP($A43,'liste reference'!$B$7:$P$904,3,0)),"",VLOOKUP($A43,'liste reference'!$B$7:$P$904,3,0)),VLOOKUP($A43,'liste reference'!$A$7:$P$904,4,0)),"")</f>
        <v>3</v>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Potamogeton nodosus</v>
      </c>
      <c r="L43" s="333"/>
      <c r="M43" s="333"/>
      <c r="N43" s="333"/>
      <c r="O43" s="367"/>
      <c r="P43" s="367">
        <f>IF($A43="NEWCOD",IF($AC43="","No",$AC43),IF(ISTEXT($E43),"DEJA SAISI !",IF($A43="","",IF(ISERROR(VLOOKUP($A43,'liste reference'!A:S,19,FALSE)),IF(ISERROR(VLOOKUP($A43,'liste reference'!B:S,19,FALSE)),"",VLOOKUP($A43,'liste reference'!B:S,19,FALSE)),VLOOKUP($A43,'liste reference'!A:S,19,FALSE)))))</f>
        <v>1652</v>
      </c>
      <c r="Q43" s="222">
        <f t="shared" si="2"/>
        <v>0.062200000000000005</v>
      </c>
      <c r="R43" s="223">
        <f t="shared" si="3"/>
        <v>1</v>
      </c>
      <c r="S43" s="223">
        <f t="shared" si="4"/>
        <v>4</v>
      </c>
      <c r="T43" s="223">
        <f t="shared" si="5"/>
        <v>12</v>
      </c>
      <c r="U43" s="225">
        <f t="shared" si="6"/>
        <v>3</v>
      </c>
      <c r="V43" s="287">
        <f t="shared" si="7"/>
      </c>
      <c r="W43" s="289" t="s">
        <v>1130</v>
      </c>
      <c r="Y43" s="324" t="str">
        <f>IF(A43="new.cod","NEWCOD",IF(AND((Z43=""),ISTEXT(A43)),A43,IF(Z43="","",INDEX('liste reference'!$A$8:$A$904,Z43))))</f>
        <v>POTNOD</v>
      </c>
      <c r="Z43" s="183">
        <f>IF(ISERROR(MATCH(A43,'liste reference'!$A$8:$A$904,0)),IF(ISERROR(MATCH(A43,'liste reference'!$B$8:$B$904,0)),"",(MATCH(A43,'liste reference'!$B$8:$B$904,0))),(MATCH(A43,'liste reference'!$A$8:$A$904,0)))</f>
        <v>418</v>
      </c>
      <c r="AA43" s="385"/>
      <c r="AB43" s="372"/>
      <c r="AC43" s="372"/>
      <c r="BB43" s="183">
        <f t="shared" si="8"/>
        <v>1</v>
      </c>
    </row>
    <row r="44" spans="1:54" ht="12.75">
      <c r="A44" s="322" t="s">
        <v>624</v>
      </c>
      <c r="B44" s="241"/>
      <c r="C44" s="242">
        <v>0.1</v>
      </c>
      <c r="D44" s="221" t="str">
        <f>IF(ISERROR(VLOOKUP($A44,'liste reference'!$A$7:$D$904,2,0)),IF(ISERROR(VLOOKUP($A44,'liste reference'!$B$7:$D$904,1,0)),"",VLOOKUP($A44,'liste reference'!$B$7:$D$904,1,0)),VLOOKUP($A44,'liste reference'!$A$7:$D$904,2,0))</f>
        <v>Potamogeton panormitanus</v>
      </c>
      <c r="E44" s="224" t="e">
        <f>IF(D44="",,VLOOKUP(D44,D$22:D43,1,0))</f>
        <v>#N/A</v>
      </c>
      <c r="F44" s="39">
        <f t="shared" si="1"/>
        <v>0.037000000000000005</v>
      </c>
      <c r="G44" s="507" t="str">
        <f>IF(A44="","",IF(ISERROR(VLOOKUP($A44,'liste reference'!$A$7:$P$904,13,0)),IF(ISERROR(VLOOKUP($A44,'liste reference'!$B$7:$P$904,12,0)),"    -",VLOOKUP($A44,'liste reference'!$B$7:$P$904,12,0)),VLOOKUP($A44,'liste reference'!$A$7:$P$904,13,0)))</f>
        <v>PHy</v>
      </c>
      <c r="H44" s="508">
        <f>IF(A44="","x",IF(ISERROR(VLOOKUP($A44,'liste reference'!$A$8:$P$904,14,0)),IF(ISERROR(VLOOKUP($A44,'liste reference'!$B$8:$P$904,13,0)),"x",VLOOKUP($A44,'liste reference'!$B$8:$P$904,13,0)),VLOOKUP($A44,'liste reference'!$A$8:$P$904,14,0)))</f>
        <v>7</v>
      </c>
      <c r="I44" s="509">
        <f>IF(ISNUMBER(H44),IF(ISERROR(VLOOKUP($A44,'liste reference'!$A$7:$P$904,3,0)),IF(ISERROR(VLOOKUP($A44,'liste reference'!$B$7:$P$904,2,0)),"",VLOOKUP($A44,'liste reference'!$B$7:$P$904,2,0)),VLOOKUP($A44,'liste reference'!$A$7:$P$904,3,0)),"")</f>
        <v>9</v>
      </c>
      <c r="J44" s="509">
        <f>IF(ISNUMBER(H44),IF(ISERROR(VLOOKUP($A44,'liste reference'!$A$7:$P$904,4,0)),IF(ISERROR(VLOOKUP($A44,'liste reference'!$B$7:$P$904,3,0)),"",VLOOKUP($A44,'liste reference'!$B$7:$P$904,3,0)),VLOOKUP($A44,'liste reference'!$A$7:$P$904,4,0)),"")</f>
        <v>2</v>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Potamogeton panormitanus</v>
      </c>
      <c r="L44" s="333"/>
      <c r="M44" s="333"/>
      <c r="N44" s="333"/>
      <c r="O44" s="367"/>
      <c r="P44" s="367">
        <f>IF($A44="NEWCOD",IF($AC44="","No",$AC44),IF(ISTEXT($E44),"DEJA SAISI !",IF($A44="","",IF(ISERROR(VLOOKUP($A44,'liste reference'!A:S,19,FALSE)),IF(ISERROR(VLOOKUP($A44,'liste reference'!B:S,19,FALSE)),"",VLOOKUP($A44,'liste reference'!B:S,19,FALSE)),VLOOKUP($A44,'liste reference'!A:S,19,FALSE)))))</f>
        <v>1654</v>
      </c>
      <c r="Q44" s="222">
        <f t="shared" si="2"/>
        <v>0.037000000000000005</v>
      </c>
      <c r="R44" s="223">
        <f t="shared" si="3"/>
        <v>1</v>
      </c>
      <c r="S44" s="223">
        <f t="shared" si="4"/>
        <v>9</v>
      </c>
      <c r="T44" s="223">
        <f t="shared" si="5"/>
        <v>18</v>
      </c>
      <c r="U44" s="225">
        <f t="shared" si="6"/>
        <v>2</v>
      </c>
      <c r="V44" s="287">
        <f t="shared" si="7"/>
      </c>
      <c r="W44" s="289" t="s">
        <v>1130</v>
      </c>
      <c r="X44" s="289"/>
      <c r="Y44" s="324" t="str">
        <f>IF(A44="new.cod","NEWCOD",IF(AND((Z44=""),ISTEXT(A44)),A44,IF(Z44="","",INDEX('liste reference'!$A$8:$A$904,Z44))))</f>
        <v>POTPAN</v>
      </c>
      <c r="Z44" s="183">
        <f>IF(ISERROR(MATCH(A44,'liste reference'!$A$8:$A$904,0)),IF(ISERROR(MATCH(A44,'liste reference'!$B$8:$B$904,0)),"",(MATCH(A44,'liste reference'!$B$8:$B$904,0))),(MATCH(A44,'liste reference'!$A$8:$A$904,0)))</f>
        <v>420</v>
      </c>
      <c r="AA44" s="385"/>
      <c r="AB44" s="372"/>
      <c r="AC44" s="372"/>
      <c r="BB44" s="183">
        <f t="shared" si="8"/>
        <v>1</v>
      </c>
    </row>
    <row r="45" spans="1:54" ht="12.75">
      <c r="A45" s="322" t="s">
        <v>625</v>
      </c>
      <c r="B45" s="241"/>
      <c r="C45" s="242">
        <v>0.1</v>
      </c>
      <c r="D45" s="221" t="str">
        <f>IF(ISERROR(VLOOKUP($A45,'liste reference'!$A$7:$D$904,2,0)),IF(ISERROR(VLOOKUP($A45,'liste reference'!$B$7:$D$904,1,0)),"",VLOOKUP($A45,'liste reference'!$B$7:$D$904,1,0)),VLOOKUP($A45,'liste reference'!$A$7:$D$904,2,0))</f>
        <v>Potamogeton pectinatus</v>
      </c>
      <c r="E45" s="224" t="e">
        <f>IF(D45="",,VLOOKUP(D45,D$22:D44,1,0))</f>
        <v>#N/A</v>
      </c>
      <c r="F45" s="39">
        <f t="shared" si="1"/>
        <v>0.037000000000000005</v>
      </c>
      <c r="G45" s="507" t="str">
        <f>IF(A45="","",IF(ISERROR(VLOOKUP($A45,'liste reference'!$A$7:$P$904,13,0)),IF(ISERROR(VLOOKUP($A45,'liste reference'!$B$7:$P$904,12,0)),"    -",VLOOKUP($A45,'liste reference'!$B$7:$P$904,12,0)),VLOOKUP($A45,'liste reference'!$A$7:$P$904,13,0)))</f>
        <v>PHy</v>
      </c>
      <c r="H45" s="508">
        <f>IF(A45="","x",IF(ISERROR(VLOOKUP($A45,'liste reference'!$A$8:$P$904,14,0)),IF(ISERROR(VLOOKUP($A45,'liste reference'!$B$8:$P$904,13,0)),"x",VLOOKUP($A45,'liste reference'!$B$8:$P$904,13,0)),VLOOKUP($A45,'liste reference'!$A$8:$P$904,14,0)))</f>
        <v>7</v>
      </c>
      <c r="I45" s="509">
        <f>IF(ISNUMBER(H45),IF(ISERROR(VLOOKUP($A45,'liste reference'!$A$7:$P$904,3,0)),IF(ISERROR(VLOOKUP($A45,'liste reference'!$B$7:$P$904,2,0)),"",VLOOKUP($A45,'liste reference'!$B$7:$P$904,2,0)),VLOOKUP($A45,'liste reference'!$A$7:$P$904,3,0)),"")</f>
        <v>2</v>
      </c>
      <c r="J45" s="509">
        <f>IF(ISNUMBER(H45),IF(ISERROR(VLOOKUP($A45,'liste reference'!$A$7:$P$904,4,0)),IF(ISERROR(VLOOKUP($A45,'liste reference'!$B$7:$P$904,3,0)),"",VLOOKUP($A45,'liste reference'!$B$7:$P$904,3,0)),VLOOKUP($A45,'liste reference'!$A$7:$P$904,4,0)),"")</f>
        <v>2</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Potamogeton pectinatus</v>
      </c>
      <c r="L45" s="333"/>
      <c r="M45" s="333"/>
      <c r="N45" s="333"/>
      <c r="O45" s="367"/>
      <c r="P45" s="367">
        <f>IF($A45="NEWCOD",IF($AC45="","No",$AC45),IF(ISTEXT($E45),"DEJA SAISI !",IF($A45="","",IF(ISERROR(VLOOKUP($A45,'liste reference'!A:S,19,FALSE)),IF(ISERROR(VLOOKUP($A45,'liste reference'!B:S,19,FALSE)),"",VLOOKUP($A45,'liste reference'!B:S,19,FALSE)),VLOOKUP($A45,'liste reference'!A:S,19,FALSE)))))</f>
        <v>1655</v>
      </c>
      <c r="Q45" s="222">
        <f t="shared" si="2"/>
        <v>0.037000000000000005</v>
      </c>
      <c r="R45" s="223">
        <f t="shared" si="3"/>
        <v>1</v>
      </c>
      <c r="S45" s="223">
        <f t="shared" si="4"/>
        <v>2</v>
      </c>
      <c r="T45" s="223">
        <f t="shared" si="5"/>
        <v>4</v>
      </c>
      <c r="U45" s="225">
        <f t="shared" si="6"/>
        <v>2</v>
      </c>
      <c r="V45" s="287">
        <f t="shared" si="7"/>
      </c>
      <c r="W45" s="289" t="s">
        <v>1130</v>
      </c>
      <c r="Y45" s="324" t="str">
        <f>IF(A45="new.cod","NEWCOD",IF(AND((Z45=""),ISTEXT(A45)),A45,IF(Z45="","",INDEX('liste reference'!$A$8:$A$904,Z45))))</f>
        <v>POTPEC</v>
      </c>
      <c r="Z45" s="183">
        <f>IF(ISERROR(MATCH(A45,'liste reference'!$A$8:$A$904,0)),IF(ISERROR(MATCH(A45,'liste reference'!$B$8:$B$904,0)),"",(MATCH(A45,'liste reference'!$B$8:$B$904,0))),(MATCH(A45,'liste reference'!$A$8:$A$904,0)))</f>
        <v>421</v>
      </c>
      <c r="AA45" s="385"/>
      <c r="AB45" s="372"/>
      <c r="AC45" s="372"/>
      <c r="BB45" s="183">
        <f t="shared" si="8"/>
        <v>1</v>
      </c>
    </row>
    <row r="46" spans="1:54" ht="12.75">
      <c r="A46" s="322" t="s">
        <v>645</v>
      </c>
      <c r="B46" s="241">
        <v>0.1</v>
      </c>
      <c r="C46" s="242"/>
      <c r="D46" s="221" t="str">
        <f>IF(ISERROR(VLOOKUP($A46,'liste reference'!$A$7:$D$904,2,0)),IF(ISERROR(VLOOKUP($A46,'liste reference'!$B$7:$D$904,1,0)),"",VLOOKUP($A46,'liste reference'!$B$7:$D$904,1,0)),VLOOKUP($A46,'liste reference'!$A$7:$D$904,2,0))</f>
        <v>Ranunculus peltatus</v>
      </c>
      <c r="E46" s="224" t="e">
        <f>IF(D46="",,VLOOKUP(D46,D$22:D45,1,0))</f>
        <v>#N/A</v>
      </c>
      <c r="F46" s="39">
        <f t="shared" si="1"/>
        <v>0.063</v>
      </c>
      <c r="G46" s="507" t="str">
        <f>IF(A46="","",IF(ISERROR(VLOOKUP($A46,'liste reference'!$A$7:$P$904,13,0)),IF(ISERROR(VLOOKUP($A46,'liste reference'!$B$7:$P$904,12,0)),"    -",VLOOKUP($A46,'liste reference'!$B$7:$P$904,12,0)),VLOOKUP($A46,'liste reference'!$A$7:$P$904,13,0)))</f>
        <v>PHy</v>
      </c>
      <c r="H46" s="508">
        <f>IF(A46="","x",IF(ISERROR(VLOOKUP($A46,'liste reference'!$A$8:$P$904,14,0)),IF(ISERROR(VLOOKUP($A46,'liste reference'!$B$8:$P$904,13,0)),"x",VLOOKUP($A46,'liste reference'!$B$8:$P$904,13,0)),VLOOKUP($A46,'liste reference'!$A$8:$P$904,14,0)))</f>
        <v>7</v>
      </c>
      <c r="I46" s="509">
        <f>IF(ISNUMBER(H46),IF(ISERROR(VLOOKUP($A46,'liste reference'!$A$7:$P$904,3,0)),IF(ISERROR(VLOOKUP($A46,'liste reference'!$B$7:$P$904,2,0)),"",VLOOKUP($A46,'liste reference'!$B$7:$P$904,2,0)),VLOOKUP($A46,'liste reference'!$A$7:$P$904,3,0)),"")</f>
        <v>12</v>
      </c>
      <c r="J46" s="509">
        <f>IF(ISNUMBER(H46),IF(ISERROR(VLOOKUP($A46,'liste reference'!$A$7:$P$904,4,0)),IF(ISERROR(VLOOKUP($A46,'liste reference'!$B$7:$P$904,3,0)),"",VLOOKUP($A46,'liste reference'!$B$7:$P$904,3,0)),VLOOKUP($A46,'liste reference'!$A$7:$P$904,4,0)),"")</f>
        <v>2</v>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Ranunculus peltatus</v>
      </c>
      <c r="L46" s="333"/>
      <c r="M46" s="333"/>
      <c r="N46" s="333"/>
      <c r="O46" s="367" t="s">
        <v>1147</v>
      </c>
      <c r="P46" s="367">
        <f>IF($A46="NEWCOD",IF($AC46="","No",$AC46),IF(ISTEXT($E46),"DEJA SAISI !",IF($A46="","",IF(ISERROR(VLOOKUP($A46,'liste reference'!A:S,19,FALSE)),IF(ISERROR(VLOOKUP($A46,'liste reference'!B:S,19,FALSE)),"",VLOOKUP($A46,'liste reference'!B:S,19,FALSE)),VLOOKUP($A46,'liste reference'!A:S,19,FALSE)))))</f>
        <v>1908</v>
      </c>
      <c r="Q46" s="222">
        <f t="shared" si="2"/>
        <v>0.063</v>
      </c>
      <c r="R46" s="223">
        <f t="shared" si="3"/>
        <v>1</v>
      </c>
      <c r="S46" s="223">
        <f t="shared" si="4"/>
        <v>12</v>
      </c>
      <c r="T46" s="223">
        <f t="shared" si="5"/>
        <v>24</v>
      </c>
      <c r="U46" s="225">
        <f t="shared" si="6"/>
        <v>2</v>
      </c>
      <c r="V46" s="287">
        <f t="shared" si="7"/>
      </c>
      <c r="W46" s="289" t="s">
        <v>1130</v>
      </c>
      <c r="Y46" s="324" t="str">
        <f>IF(A46="new.cod","NEWCOD",IF(AND((Z46=""),ISTEXT(A46)),A46,IF(Z46="","",INDEX('liste reference'!$A$8:$A$904,Z46))))</f>
        <v>RANPEL</v>
      </c>
      <c r="Z46" s="183">
        <f>IF(ISERROR(MATCH(A46,'liste reference'!$A$8:$A$904,0)),IF(ISERROR(MATCH(A46,'liste reference'!$B$8:$B$904,0)),"",(MATCH(A46,'liste reference'!$B$8:$B$904,0))),(MATCH(A46,'liste reference'!$A$8:$A$904,0)))</f>
        <v>460</v>
      </c>
      <c r="AA46" s="385" t="s">
        <v>1147</v>
      </c>
      <c r="AB46" s="372"/>
      <c r="AC46" s="372"/>
      <c r="BB46" s="183">
        <f t="shared" si="8"/>
        <v>1</v>
      </c>
    </row>
    <row r="47" spans="1:54" ht="12.75">
      <c r="A47" s="322" t="s">
        <v>656</v>
      </c>
      <c r="B47" s="241">
        <v>0.005</v>
      </c>
      <c r="C47" s="242"/>
      <c r="D47" s="221" t="str">
        <f>IF(ISERROR(VLOOKUP($A47,'liste reference'!$A$7:$D$904,2,0)),IF(ISERROR(VLOOKUP($A47,'liste reference'!$B$7:$D$904,1,0)),"",VLOOKUP($A47,'liste reference'!$B$7:$D$904,1,0)),VLOOKUP($A47,'liste reference'!$A$7:$D$904,2,0))</f>
        <v>Sparganium emersum fo. Longissimum</v>
      </c>
      <c r="E47" s="224" t="e">
        <f>IF(D47="",,VLOOKUP(D47,D$22:D46,1,0))</f>
        <v>#N/A</v>
      </c>
      <c r="F47" s="39">
        <f t="shared" si="1"/>
        <v>0.00315</v>
      </c>
      <c r="G47" s="507" t="str">
        <f>IF(A47="","",IF(ISERROR(VLOOKUP($A47,'liste reference'!$A$7:$P$904,13,0)),IF(ISERROR(VLOOKUP($A47,'liste reference'!$B$7:$P$904,12,0)),"    -",VLOOKUP($A47,'liste reference'!$B$7:$P$904,12,0)),VLOOKUP($A47,'liste reference'!$A$7:$P$904,13,0)))</f>
        <v>PHy</v>
      </c>
      <c r="H47" s="508">
        <f>IF(A47="","x",IF(ISERROR(VLOOKUP($A47,'liste reference'!$A$8:$P$904,14,0)),IF(ISERROR(VLOOKUP($A47,'liste reference'!$B$8:$P$904,13,0)),"x",VLOOKUP($A47,'liste reference'!$B$8:$P$904,13,0)),VLOOKUP($A47,'liste reference'!$A$8:$P$904,14,0)))</f>
        <v>7</v>
      </c>
      <c r="I47" s="509">
        <f>IF(ISNUMBER(H47),IF(ISERROR(VLOOKUP($A47,'liste reference'!$A$7:$P$904,3,0)),IF(ISERROR(VLOOKUP($A47,'liste reference'!$B$7:$P$904,2,0)),"",VLOOKUP($A47,'liste reference'!$B$7:$P$904,2,0)),VLOOKUP($A47,'liste reference'!$A$7:$P$904,3,0)),"")</f>
        <v>7</v>
      </c>
      <c r="J47" s="509">
        <f>IF(ISNUMBER(H47),IF(ISERROR(VLOOKUP($A47,'liste reference'!$A$7:$P$904,4,0)),IF(ISERROR(VLOOKUP($A47,'liste reference'!$B$7:$P$904,3,0)),"",VLOOKUP($A47,'liste reference'!$B$7:$P$904,3,0)),VLOOKUP($A47,'liste reference'!$A$7:$P$904,4,0)),"")</f>
        <v>1</v>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Sparganium emersum fo. Longissimum</v>
      </c>
      <c r="L47" s="333"/>
      <c r="M47" s="333"/>
      <c r="N47" s="333"/>
      <c r="O47" s="367"/>
      <c r="P47" s="367">
        <f>IF($A47="NEWCOD",IF($AC47="","No",$AC47),IF(ISTEXT($E47),"DEJA SAISI !",IF($A47="","",IF(ISERROR(VLOOKUP($A47,'liste reference'!A:S,19,FALSE)),IF(ISERROR(VLOOKUP($A47,'liste reference'!B:S,19,FALSE)),"",VLOOKUP($A47,'liste reference'!B:S,19,FALSE)),VLOOKUP($A47,'liste reference'!A:S,19,FALSE)))))</f>
        <v>19695</v>
      </c>
      <c r="Q47" s="222">
        <f t="shared" si="2"/>
        <v>0.00315</v>
      </c>
      <c r="R47" s="223">
        <f t="shared" si="3"/>
        <v>1</v>
      </c>
      <c r="S47" s="223">
        <f t="shared" si="4"/>
        <v>7</v>
      </c>
      <c r="T47" s="223">
        <f t="shared" si="5"/>
        <v>7</v>
      </c>
      <c r="U47" s="225">
        <f t="shared" si="6"/>
        <v>1</v>
      </c>
      <c r="V47" s="287">
        <f t="shared" si="7"/>
      </c>
      <c r="W47" s="289" t="s">
        <v>1130</v>
      </c>
      <c r="Y47" s="324" t="str">
        <f>IF(A47="new.cod","NEWCOD",IF(AND((Z47=""),ISTEXT(A47)),A47,IF(Z47="","",INDEX('liste reference'!$A$8:$A$904,Z47))))</f>
        <v>SPAEML</v>
      </c>
      <c r="Z47" s="183">
        <f>IF(ISERROR(MATCH(A47,'liste reference'!$A$8:$A$904,0)),IF(ISERROR(MATCH(A47,'liste reference'!$B$8:$B$904,0)),"",(MATCH(A47,'liste reference'!$B$8:$B$904,0))),(MATCH(A47,'liste reference'!$A$8:$A$904,0)))</f>
        <v>482</v>
      </c>
      <c r="AA47" s="385"/>
      <c r="AB47" s="372"/>
      <c r="AC47" s="372"/>
      <c r="BB47" s="183">
        <f t="shared" si="8"/>
        <v>1</v>
      </c>
    </row>
    <row r="48" spans="1:54" ht="12.75">
      <c r="A48" s="322" t="s">
        <v>659</v>
      </c>
      <c r="B48" s="241">
        <v>0.005</v>
      </c>
      <c r="C48" s="242"/>
      <c r="D48" s="221" t="str">
        <f>IF(ISERROR(VLOOKUP($A48,'liste reference'!$A$7:$D$904,2,0)),IF(ISERROR(VLOOKUP($A48,'liste reference'!$B$7:$D$904,1,0)),"",VLOOKUP($A48,'liste reference'!$B$7:$D$904,1,0)),VLOOKUP($A48,'liste reference'!$A$7:$D$904,2,0))</f>
        <v>Spirodela polyrhiza</v>
      </c>
      <c r="E48" s="224" t="e">
        <f>IF(D48="",,VLOOKUP(D48,D$22:D33,1,0))</f>
        <v>#N/A</v>
      </c>
      <c r="F48" s="39">
        <f t="shared" si="1"/>
        <v>0.00315</v>
      </c>
      <c r="G48" s="507" t="str">
        <f>IF(A48="","",IF(ISERROR(VLOOKUP($A48,'liste reference'!$A$7:$P$904,13,0)),IF(ISERROR(VLOOKUP($A48,'liste reference'!$B$7:$P$904,12,0)),"    -",VLOOKUP($A48,'liste reference'!$B$7:$P$904,12,0)),VLOOKUP($A48,'liste reference'!$A$7:$P$904,13,0)))</f>
        <v>PHy</v>
      </c>
      <c r="H48" s="508">
        <f>IF(A48="","x",IF(ISERROR(VLOOKUP($A48,'liste reference'!$A$8:$P$904,14,0)),IF(ISERROR(VLOOKUP($A48,'liste reference'!$B$8:$P$904,13,0)),"x",VLOOKUP($A48,'liste reference'!$B$8:$P$904,13,0)),VLOOKUP($A48,'liste reference'!$A$8:$P$904,14,0)))</f>
        <v>7</v>
      </c>
      <c r="I48" s="509">
        <f>IF(ISNUMBER(H48),IF(ISERROR(VLOOKUP($A48,'liste reference'!$A$7:$P$904,3,0)),IF(ISERROR(VLOOKUP($A48,'liste reference'!$B$7:$P$904,2,0)),"",VLOOKUP($A48,'liste reference'!$B$7:$P$904,2,0)),VLOOKUP($A48,'liste reference'!$A$7:$P$904,3,0)),"")</f>
        <v>6</v>
      </c>
      <c r="J48" s="509">
        <f>IF(ISNUMBER(H48),IF(ISERROR(VLOOKUP($A48,'liste reference'!$A$7:$P$904,4,0)),IF(ISERROR(VLOOKUP($A48,'liste reference'!$B$7:$P$904,3,0)),"",VLOOKUP($A48,'liste reference'!$B$7:$P$904,3,0)),VLOOKUP($A48,'liste reference'!$A$7:$P$904,4,0)),"")</f>
        <v>2</v>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Spirodela polyrhiza</v>
      </c>
      <c r="L48" s="333"/>
      <c r="M48" s="333"/>
      <c r="N48" s="333"/>
      <c r="O48" s="367"/>
      <c r="P48" s="367">
        <f>IF($A48="NEWCOD",IF($AC48="","No",$AC48),IF(ISTEXT($E48),"DEJA SAISI !",IF($A48="","",IF(ISERROR(VLOOKUP($A48,'liste reference'!A:S,19,FALSE)),IF(ISERROR(VLOOKUP($A48,'liste reference'!B:S,19,FALSE)),"",VLOOKUP($A48,'liste reference'!B:S,19,FALSE)),VLOOKUP($A48,'liste reference'!A:S,19,FALSE)))))</f>
        <v>1630</v>
      </c>
      <c r="Q48" s="222">
        <f t="shared" si="2"/>
        <v>0.00315</v>
      </c>
      <c r="R48" s="223">
        <f t="shared" si="3"/>
        <v>1</v>
      </c>
      <c r="S48" s="223">
        <f t="shared" si="4"/>
        <v>6</v>
      </c>
      <c r="T48" s="223">
        <f t="shared" si="5"/>
        <v>12</v>
      </c>
      <c r="U48" s="225">
        <f t="shared" si="6"/>
        <v>2</v>
      </c>
      <c r="V48" s="287">
        <f t="shared" si="7"/>
      </c>
      <c r="W48" s="289" t="s">
        <v>1130</v>
      </c>
      <c r="Y48" s="324" t="str">
        <f>IF(A48="new.cod","NEWCOD",IF(AND((Z48=""),ISTEXT(A48)),A48,IF(Z48="","",INDEX('liste reference'!$A$8:$A$904,Z48))))</f>
        <v>SPRPOL</v>
      </c>
      <c r="Z48" s="183">
        <f>IF(ISERROR(MATCH(A48,'liste reference'!$A$8:$A$904,0)),IF(ISERROR(MATCH(A48,'liste reference'!$B$8:$B$904,0)),"",(MATCH(A48,'liste reference'!$B$8:$B$904,0))),(MATCH(A48,'liste reference'!$A$8:$A$904,0)))</f>
        <v>485</v>
      </c>
      <c r="AA48" s="385"/>
      <c r="AB48" s="372"/>
      <c r="AC48" s="372"/>
      <c r="BB48" s="183">
        <f t="shared" si="8"/>
        <v>1</v>
      </c>
    </row>
    <row r="49" spans="1:54" ht="12.75">
      <c r="A49" s="322" t="s">
        <v>677</v>
      </c>
      <c r="B49" s="241"/>
      <c r="C49" s="242">
        <v>0.3</v>
      </c>
      <c r="D49" s="221" t="str">
        <f>IF(ISERROR(VLOOKUP($A49,'liste reference'!$A$7:$D$904,2,0)),IF(ISERROR(VLOOKUP($A49,'liste reference'!$B$7:$D$904,1,0)),"",VLOOKUP($A49,'liste reference'!$B$7:$D$904,1,0)),VLOOKUP($A49,'liste reference'!$A$7:$D$904,2,0))</f>
        <v>Zannichellia palustris</v>
      </c>
      <c r="E49" s="224" t="e">
        <f>IF(D49="",,VLOOKUP(D49,D$22:D48,1,0))</f>
        <v>#N/A</v>
      </c>
      <c r="F49" s="39">
        <f t="shared" si="1"/>
        <v>0.111</v>
      </c>
      <c r="G49" s="507" t="str">
        <f>IF(A49="","",IF(ISERROR(VLOOKUP($A49,'liste reference'!$A$7:$P$904,13,0)),IF(ISERROR(VLOOKUP($A49,'liste reference'!$B$7:$P$904,12,0)),"    -",VLOOKUP($A49,'liste reference'!$B$7:$P$904,12,0)),VLOOKUP($A49,'liste reference'!$A$7:$P$904,13,0)))</f>
        <v>PHy</v>
      </c>
      <c r="H49" s="508">
        <f>IF(A49="","x",IF(ISERROR(VLOOKUP($A49,'liste reference'!$A$8:$P$904,14,0)),IF(ISERROR(VLOOKUP($A49,'liste reference'!$B$8:$P$904,13,0)),"x",VLOOKUP($A49,'liste reference'!$B$8:$P$904,13,0)),VLOOKUP($A49,'liste reference'!$A$8:$P$904,14,0)))</f>
        <v>7</v>
      </c>
      <c r="I49" s="509">
        <f>IF(ISNUMBER(H49),IF(ISERROR(VLOOKUP($A49,'liste reference'!$A$7:$P$904,3,0)),IF(ISERROR(VLOOKUP($A49,'liste reference'!$B$7:$P$904,2,0)),"",VLOOKUP($A49,'liste reference'!$B$7:$P$904,2,0)),VLOOKUP($A49,'liste reference'!$A$7:$P$904,3,0)),"")</f>
        <v>5</v>
      </c>
      <c r="J49" s="509">
        <f>IF(ISNUMBER(H49),IF(ISERROR(VLOOKUP($A49,'liste reference'!$A$7:$P$904,4,0)),IF(ISERROR(VLOOKUP($A49,'liste reference'!$B$7:$P$904,3,0)),"",VLOOKUP($A49,'liste reference'!$B$7:$P$904,3,0)),VLOOKUP($A49,'liste reference'!$A$7:$P$904,4,0)),"")</f>
        <v>1</v>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Zannichellia palustris</v>
      </c>
      <c r="L49" s="333"/>
      <c r="M49" s="333"/>
      <c r="N49" s="333"/>
      <c r="O49" s="367"/>
      <c r="P49" s="367">
        <f>IF($A49="NEWCOD",IF($AC49="","No",$AC49),IF(ISTEXT($E49),"DEJA SAISI !",IF($A49="","",IF(ISERROR(VLOOKUP($A49,'liste reference'!A:S,19,FALSE)),IF(ISERROR(VLOOKUP($A49,'liste reference'!B:S,19,FALSE)),"",VLOOKUP($A49,'liste reference'!B:S,19,FALSE)),VLOOKUP($A49,'liste reference'!A:S,19,FALSE)))))</f>
        <v>1681</v>
      </c>
      <c r="Q49" s="222">
        <f t="shared" si="2"/>
        <v>0.111</v>
      </c>
      <c r="R49" s="223">
        <f t="shared" si="3"/>
        <v>2</v>
      </c>
      <c r="S49" s="223">
        <f t="shared" si="4"/>
        <v>10</v>
      </c>
      <c r="T49" s="223">
        <f t="shared" si="5"/>
        <v>10</v>
      </c>
      <c r="U49" s="225">
        <f t="shared" si="6"/>
        <v>2</v>
      </c>
      <c r="V49" s="287">
        <f t="shared" si="7"/>
      </c>
      <c r="W49" s="289" t="s">
        <v>1130</v>
      </c>
      <c r="Y49" s="324" t="str">
        <f>IF(A49="new.cod","NEWCOD",IF(AND((Z49=""),ISTEXT(A49)),A49,IF(Z49="","",INDEX('liste reference'!$A$8:$A$904,Z49))))</f>
        <v>ZANPAL</v>
      </c>
      <c r="Z49" s="183">
        <f>IF(ISERROR(MATCH(A49,'liste reference'!$A$8:$A$904,0)),IF(ISERROR(MATCH(A49,'liste reference'!$B$8:$B$904,0)),"",(MATCH(A49,'liste reference'!$B$8:$B$904,0))),(MATCH(A49,'liste reference'!$A$8:$A$904,0)))</f>
        <v>503</v>
      </c>
      <c r="AA49" s="385"/>
      <c r="AB49" s="372"/>
      <c r="AC49" s="372"/>
      <c r="BB49" s="183">
        <f t="shared" si="8"/>
        <v>1</v>
      </c>
    </row>
    <row r="50" spans="1:54" ht="12.75">
      <c r="A50" s="322" t="s">
        <v>366</v>
      </c>
      <c r="B50" s="241"/>
      <c r="C50" s="242">
        <v>0.03</v>
      </c>
      <c r="D50" s="221" t="str">
        <f>IF(ISERROR(VLOOKUP($A50,'liste reference'!$A$7:$D$904,2,0)),IF(ISERROR(VLOOKUP($A50,'liste reference'!$B$7:$D$904,1,0)),"",VLOOKUP($A50,'liste reference'!$B$7:$D$904,1,0)),VLOOKUP($A50,'liste reference'!$A$7:$D$904,2,0))</f>
        <v>Agrostis stolonifera</v>
      </c>
      <c r="E50" s="224" t="e">
        <f>IF(D50="",,VLOOKUP(D50,D$22:D49,1,0))</f>
        <v>#N/A</v>
      </c>
      <c r="F50" s="39">
        <f t="shared" si="1"/>
        <v>0.011099999999999999</v>
      </c>
      <c r="G50" s="507" t="str">
        <f>IF(A50="","",IF(ISERROR(VLOOKUP($A50,'liste reference'!$A$7:$P$904,13,0)),IF(ISERROR(VLOOKUP($A50,'liste reference'!$B$7:$P$904,12,0)),"    -",VLOOKUP($A50,'liste reference'!$B$7:$P$904,12,0)),VLOOKUP($A50,'liste reference'!$A$7:$P$904,13,0)))</f>
        <v>PHe</v>
      </c>
      <c r="H50" s="508">
        <f>IF(A50="","x",IF(ISERROR(VLOOKUP($A50,'liste reference'!$A$8:$P$904,14,0)),IF(ISERROR(VLOOKUP($A50,'liste reference'!$B$8:$P$904,13,0)),"x",VLOOKUP($A50,'liste reference'!$B$8:$P$904,13,0)),VLOOKUP($A50,'liste reference'!$A$8:$P$904,14,0)))</f>
        <v>8</v>
      </c>
      <c r="I50" s="509">
        <f>IF(ISNUMBER(H50),IF(ISERROR(VLOOKUP($A50,'liste reference'!$A$7:$P$904,3,0)),IF(ISERROR(VLOOKUP($A50,'liste reference'!$B$7:$P$904,2,0)),"",VLOOKUP($A50,'liste reference'!$B$7:$P$904,2,0)),VLOOKUP($A50,'liste reference'!$A$7:$P$904,3,0)),"")</f>
        <v>10</v>
      </c>
      <c r="J50" s="509">
        <f>IF(ISNUMBER(H50),IF(ISERROR(VLOOKUP($A50,'liste reference'!$A$7:$P$904,4,0)),IF(ISERROR(VLOOKUP($A50,'liste reference'!$B$7:$P$904,3,0)),"",VLOOKUP($A50,'liste reference'!$B$7:$P$904,3,0)),VLOOKUP($A50,'liste reference'!$A$7:$P$904,4,0)),"")</f>
        <v>1</v>
      </c>
      <c r="K50" s="587" t="str">
        <f>IF(A50="NEWCOD",IF(AB50="","Remplir le champs 'Nouveau taxa' svp.",$AB50),IF(ISTEXT($E50),"DEJA SAISI !",IF(A50="","",IF(ISERROR(VLOOKUP($A50,'liste reference'!$A$7:$D$904,2,0)),IF(ISERROR(VLOOKUP($A50,'liste reference'!$B$7:$D$904,1,0)),"code non répertorié ou synonyme",VLOOKUP($A50,'liste reference'!$B$7:$D$904,1,0)),VLOOKUP(A50,'liste reference'!$A$7:$D$904,2,0)))))</f>
        <v>Agrostis stolonifera</v>
      </c>
      <c r="L50" s="333"/>
      <c r="M50" s="333"/>
      <c r="N50" s="333"/>
      <c r="O50" s="367" t="s">
        <v>1147</v>
      </c>
      <c r="P50" s="367">
        <f>IF($A50="NEWCOD",IF($AC50="","No",$AC50),IF(ISTEXT($E50),"DEJA SAISI !",IF($A50="","",IF(ISERROR(VLOOKUP($A50,'liste reference'!A:S,19,FALSE)),IF(ISERROR(VLOOKUP($A50,'liste reference'!B:S,19,FALSE)),"",VLOOKUP($A50,'liste reference'!B:S,19,FALSE)),VLOOKUP($A50,'liste reference'!A:S,19,FALSE)))))</f>
        <v>1543</v>
      </c>
      <c r="Q50" s="222">
        <f t="shared" si="2"/>
        <v>0.011099999999999999</v>
      </c>
      <c r="R50" s="223">
        <f t="shared" si="3"/>
        <v>1</v>
      </c>
      <c r="S50" s="223">
        <f t="shared" si="4"/>
        <v>10</v>
      </c>
      <c r="T50" s="223">
        <f t="shared" si="5"/>
        <v>10</v>
      </c>
      <c r="U50" s="225">
        <f t="shared" si="6"/>
        <v>1</v>
      </c>
      <c r="V50" s="287">
        <f t="shared" si="7"/>
      </c>
      <c r="W50" s="289" t="s">
        <v>1130</v>
      </c>
      <c r="Y50" s="324" t="str">
        <f>IF(A50="new.cod","NEWCOD",IF(AND((Z50=""),ISTEXT(A50)),A50,IF(Z50="","",INDEX('liste reference'!$A$8:$A$904,Z50))))</f>
        <v>AGRSTO</v>
      </c>
      <c r="Z50" s="183">
        <f>IF(ISERROR(MATCH(A50,'liste reference'!$A$8:$A$904,0)),IF(ISERROR(MATCH(A50,'liste reference'!$B$8:$B$904,0)),"",(MATCH(A50,'liste reference'!$B$8:$B$904,0))),(MATCH(A50,'liste reference'!$A$8:$A$904,0)))</f>
        <v>514</v>
      </c>
      <c r="AA50" s="385" t="s">
        <v>1147</v>
      </c>
      <c r="AB50" s="372"/>
      <c r="AC50" s="372"/>
      <c r="BB50" s="183">
        <f t="shared" si="8"/>
        <v>1</v>
      </c>
    </row>
    <row r="51" spans="1:54" ht="12.75">
      <c r="A51" s="322" t="s">
        <v>396</v>
      </c>
      <c r="B51" s="241">
        <v>0.005</v>
      </c>
      <c r="C51" s="242"/>
      <c r="D51" s="221" t="str">
        <f>IF(ISERROR(VLOOKUP($A51,'liste reference'!$A$7:$D$904,2,0)),IF(ISERROR(VLOOKUP($A51,'liste reference'!$B$7:$D$904,1,0)),"",VLOOKUP($A51,'liste reference'!$B$7:$D$904,1,0)),VLOOKUP($A51,'liste reference'!$A$7:$D$904,2,0))</f>
        <v>Carex sp.</v>
      </c>
      <c r="E51" s="224" t="e">
        <f>IF(D51="",,VLOOKUP(D51,D$21:D50,1,0))</f>
        <v>#N/A</v>
      </c>
      <c r="F51" s="39">
        <f t="shared" si="1"/>
        <v>0.00315</v>
      </c>
      <c r="G51" s="507" t="str">
        <f>IF(A51="","",IF(ISERROR(VLOOKUP($A51,'liste reference'!$A$7:$P$904,13,0)),IF(ISERROR(VLOOKUP($A51,'liste reference'!$B$7:$P$904,12,0)),"    -",VLOOKUP($A51,'liste reference'!$B$7:$P$904,12,0)),VLOOKUP($A51,'liste reference'!$A$7:$P$904,13,0)))</f>
        <v>PHe</v>
      </c>
      <c r="H51" s="508">
        <f>IF(A51="","x",IF(ISERROR(VLOOKUP($A51,'liste reference'!$A$8:$P$904,14,0)),IF(ISERROR(VLOOKUP($A51,'liste reference'!$B$8:$P$904,13,0)),"x",VLOOKUP($A51,'liste reference'!$B$8:$P$904,13,0)),VLOOKUP($A51,'liste reference'!$A$8:$P$904,14,0)))</f>
        <v>8</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t="str">
        <f>IF(A51="NEWCOD",IF(AB51="","Remplir le champs 'Nouveau taxa' svp.",$AB51),IF(ISTEXT($E51),"DEJA SAISI !",IF(A51="","",IF(ISERROR(VLOOKUP($A51,'liste reference'!$A$7:$D$904,2,0)),IF(ISERROR(VLOOKUP($A51,'liste reference'!$B$7:$D$904,1,0)),"code non répertorié ou synonyme",VLOOKUP($A51,'liste reference'!$B$7:$D$904,1,0)),VLOOKUP(A51,'liste reference'!$A$7:$D$904,2,0)))))</f>
        <v>Carex sp.</v>
      </c>
      <c r="L51" s="333"/>
      <c r="M51" s="333"/>
      <c r="N51" s="333"/>
      <c r="O51" s="367"/>
      <c r="P51" s="367">
        <f>IF($A51="NEWCOD",IF($AC51="","No",$AC51),IF(ISTEXT($E51),"DEJA SAISI !",IF($A51="","",IF(ISERROR(VLOOKUP($A51,'liste reference'!A:S,19,FALSE)),IF(ISERROR(VLOOKUP($A51,'liste reference'!B:S,19,FALSE)),"",VLOOKUP($A51,'liste reference'!B:S,19,FALSE)),VLOOKUP($A51,'liste reference'!A:S,19,FALSE)))))</f>
        <v>1466</v>
      </c>
      <c r="Q51" s="222">
        <f t="shared" si="2"/>
        <v>0.00315</v>
      </c>
      <c r="R51" s="223">
        <f t="shared" si="3"/>
        <v>1</v>
      </c>
      <c r="S51" s="223">
        <f t="shared" si="4"/>
        <v>0</v>
      </c>
      <c r="T51" s="223">
        <f t="shared" si="5"/>
        <v>0</v>
      </c>
      <c r="U51" s="225">
        <f t="shared" si="6"/>
        <v>0</v>
      </c>
      <c r="V51" s="287">
        <f t="shared" si="7"/>
      </c>
      <c r="W51" s="289" t="s">
        <v>1130</v>
      </c>
      <c r="X51" s="282"/>
      <c r="Y51" s="324" t="str">
        <f>IF(A51="new.cod","NEWCOD",IF(AND((Z51=""),ISTEXT(A51)),A51,IF(Z51="","",INDEX('liste reference'!$A$8:$A$904,Z51))))</f>
        <v>CARSPX</v>
      </c>
      <c r="Z51" s="183">
        <f>IF(ISERROR(MATCH(A51,'liste reference'!$A$8:$A$904,0)),IF(ISERROR(MATCH(A51,'liste reference'!$B$8:$B$904,0)),"",(MATCH(A51,'liste reference'!$B$8:$B$904,0))),(MATCH(A51,'liste reference'!$A$8:$A$904,0)))</f>
        <v>545</v>
      </c>
      <c r="AA51" s="385"/>
      <c r="AB51" s="372"/>
      <c r="AC51" s="372"/>
      <c r="BB51" s="183">
        <f t="shared" si="8"/>
        <v>1</v>
      </c>
    </row>
    <row r="52" spans="1:54" ht="12.75">
      <c r="A52" s="322" t="s">
        <v>443</v>
      </c>
      <c r="B52" s="241">
        <v>0.01</v>
      </c>
      <c r="C52" s="242">
        <v>1</v>
      </c>
      <c r="D52" s="221" t="str">
        <f>IF(ISERROR(VLOOKUP($A52,'liste reference'!$A$7:$D$904,2,0)),IF(ISERROR(VLOOKUP($A52,'liste reference'!$B$7:$D$904,1,0)),"",VLOOKUP($A52,'liste reference'!$B$7:$D$904,1,0)),VLOOKUP($A52,'liste reference'!$A$7:$D$904,2,0))</f>
        <v>Ludwigia peploides</v>
      </c>
      <c r="E52" s="224" t="e">
        <f>IF(D52="",,VLOOKUP(D52,D$22:D51,1,0))</f>
        <v>#N/A</v>
      </c>
      <c r="F52" s="39">
        <f t="shared" si="1"/>
        <v>0.3763</v>
      </c>
      <c r="G52" s="507" t="str">
        <f>IF(A52="","",IF(ISERROR(VLOOKUP($A52,'liste reference'!$A$7:$P$904,13,0)),IF(ISERROR(VLOOKUP($A52,'liste reference'!$B$7:$P$904,12,0)),"    -",VLOOKUP($A52,'liste reference'!$B$7:$P$904,12,0)),VLOOKUP($A52,'liste reference'!$A$7:$P$904,13,0)))</f>
        <v>PHe</v>
      </c>
      <c r="H52" s="508">
        <f>IF(A52="","x",IF(ISERROR(VLOOKUP($A52,'liste reference'!$A$8:$P$904,14,0)),IF(ISERROR(VLOOKUP($A52,'liste reference'!$B$8:$P$904,13,0)),"x",VLOOKUP($A52,'liste reference'!$B$8:$P$904,13,0)),VLOOKUP($A52,'liste reference'!$A$8:$P$904,14,0)))</f>
        <v>8</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t="str">
        <f>IF(A52="NEWCOD",IF(AB52="","Remplir le champs 'Nouveau taxa' svp.",$AB52),IF(ISTEXT($E52),"DEJA SAISI !",IF(A52="","",IF(ISERROR(VLOOKUP($A52,'liste reference'!$A$7:$D$904,2,0)),IF(ISERROR(VLOOKUP($A52,'liste reference'!$B$7:$D$904,1,0)),"code non répertorié ou synonyme",VLOOKUP($A52,'liste reference'!$B$7:$D$904,1,0)),VLOOKUP(A52,'liste reference'!$A$7:$D$904,2,0)))))</f>
        <v>Ludwigia peploides</v>
      </c>
      <c r="L52" s="333"/>
      <c r="M52" s="333"/>
      <c r="N52" s="333"/>
      <c r="O52" s="367"/>
      <c r="P52" s="367">
        <f>IF($A52="NEWCOD",IF($AC52="","No",$AC52),IF(ISTEXT($E52),"DEJA SAISI !",IF($A52="","",IF(ISERROR(VLOOKUP($A52,'liste reference'!A:S,19,FALSE)),IF(ISERROR(VLOOKUP($A52,'liste reference'!B:S,19,FALSE)),"",VLOOKUP($A52,'liste reference'!B:S,19,FALSE)),VLOOKUP($A52,'liste reference'!A:S,19,FALSE)))))</f>
        <v>1856</v>
      </c>
      <c r="Q52" s="222">
        <f t="shared" si="2"/>
        <v>0.37629999999999997</v>
      </c>
      <c r="R52" s="223">
        <f t="shared" si="3"/>
        <v>2</v>
      </c>
      <c r="S52" s="223">
        <f t="shared" si="4"/>
        <v>0</v>
      </c>
      <c r="T52" s="223">
        <f t="shared" si="5"/>
        <v>0</v>
      </c>
      <c r="U52" s="225">
        <f t="shared" si="6"/>
        <v>0</v>
      </c>
      <c r="V52" s="287">
        <f t="shared" si="7"/>
      </c>
      <c r="W52" s="289" t="s">
        <v>1130</v>
      </c>
      <c r="Y52" s="324" t="str">
        <f>IF(A52="new.cod","NEWCOD",IF(AND((Z52=""),ISTEXT(A52)),A52,IF(Z52="","",INDEX('liste reference'!$A$8:$A$904,Z52))))</f>
        <v>LUDPEP</v>
      </c>
      <c r="Z52" s="183">
        <f>IF(ISERROR(MATCH(A52,'liste reference'!$A$8:$A$904,0)),IF(ISERROR(MATCH(A52,'liste reference'!$B$8:$B$904,0)),"",(MATCH(A52,'liste reference'!$B$8:$B$904,0))),(MATCH(A52,'liste reference'!$A$8:$A$904,0)))</f>
        <v>594</v>
      </c>
      <c r="AA52" s="385"/>
      <c r="AB52" s="372"/>
      <c r="AC52" s="372"/>
      <c r="BB52" s="183">
        <f t="shared" si="8"/>
        <v>1</v>
      </c>
    </row>
    <row r="53" spans="1:54" ht="12.75">
      <c r="A53" s="322" t="s">
        <v>445</v>
      </c>
      <c r="B53" s="241">
        <v>0.005</v>
      </c>
      <c r="C53" s="242"/>
      <c r="D53" s="221" t="str">
        <f>IF(ISERROR(VLOOKUP($A53,'liste reference'!$A$7:$D$904,2,0)),IF(ISERROR(VLOOKUP($A53,'liste reference'!$B$7:$D$904,1,0)),"",VLOOKUP($A53,'liste reference'!$B$7:$D$904,1,0)),VLOOKUP($A53,'liste reference'!$A$7:$D$904,2,0))</f>
        <v>Lycopus europaeus</v>
      </c>
      <c r="E53" s="224" t="e">
        <f>IF(D53="",,VLOOKUP(D53,D$22:D52,1,0))</f>
        <v>#N/A</v>
      </c>
      <c r="F53" s="39">
        <f t="shared" si="1"/>
        <v>0.00315</v>
      </c>
      <c r="G53" s="507" t="str">
        <f>IF(A53="","",IF(ISERROR(VLOOKUP($A53,'liste reference'!$A$7:$P$904,13,0)),IF(ISERROR(VLOOKUP($A53,'liste reference'!$B$7:$P$904,12,0)),"    -",VLOOKUP($A53,'liste reference'!$B$7:$P$904,12,0)),VLOOKUP($A53,'liste reference'!$A$7:$P$904,13,0)))</f>
        <v>PHe</v>
      </c>
      <c r="H53" s="508">
        <f>IF(A53="","x",IF(ISERROR(VLOOKUP($A53,'liste reference'!$A$8:$P$904,14,0)),IF(ISERROR(VLOOKUP($A53,'liste reference'!$B$8:$P$904,13,0)),"x",VLOOKUP($A53,'liste reference'!$B$8:$P$904,13,0)),VLOOKUP($A53,'liste reference'!$A$8:$P$904,14,0)))</f>
        <v>8</v>
      </c>
      <c r="I53" s="509">
        <f>IF(ISNUMBER(H53),IF(ISERROR(VLOOKUP($A53,'liste reference'!$A$7:$P$904,3,0)),IF(ISERROR(VLOOKUP($A53,'liste reference'!$B$7:$P$904,2,0)),"",VLOOKUP($A53,'liste reference'!$B$7:$P$904,2,0)),VLOOKUP($A53,'liste reference'!$A$7:$P$904,3,0)),"")</f>
        <v>11</v>
      </c>
      <c r="J53" s="509">
        <f>IF(ISNUMBER(H53),IF(ISERROR(VLOOKUP($A53,'liste reference'!$A$7:$P$904,4,0)),IF(ISERROR(VLOOKUP($A53,'liste reference'!$B$7:$P$904,3,0)),"",VLOOKUP($A53,'liste reference'!$B$7:$P$904,3,0)),VLOOKUP($A53,'liste reference'!$A$7:$P$904,4,0)),"")</f>
        <v>1</v>
      </c>
      <c r="K53" s="587" t="str">
        <f>IF(A53="NEWCOD",IF(AB53="","Remplir le champs 'Nouveau taxa' svp.",$AB53),IF(ISTEXT($E53),"DEJA SAISI !",IF(A53="","",IF(ISERROR(VLOOKUP($A53,'liste reference'!$A$7:$D$904,2,0)),IF(ISERROR(VLOOKUP($A53,'liste reference'!$B$7:$D$904,1,0)),"code non répertorié ou synonyme",VLOOKUP($A53,'liste reference'!$B$7:$D$904,1,0)),VLOOKUP(A53,'liste reference'!$A$7:$D$904,2,0)))))</f>
        <v>Lycopus europaeus</v>
      </c>
      <c r="L53" s="333"/>
      <c r="M53" s="333"/>
      <c r="N53" s="333"/>
      <c r="O53" s="367"/>
      <c r="P53" s="367">
        <f>IF($A53="NEWCOD",IF($AC53="","No",$AC53),IF(ISTEXT($E53),"DEJA SAISI !",IF($A53="","",IF(ISERROR(VLOOKUP($A53,'liste reference'!A:S,19,FALSE)),IF(ISERROR(VLOOKUP($A53,'liste reference'!B:S,19,FALSE)),"",VLOOKUP($A53,'liste reference'!B:S,19,FALSE)),VLOOKUP($A53,'liste reference'!A:S,19,FALSE)))))</f>
        <v>1789</v>
      </c>
      <c r="Q53" s="222">
        <f t="shared" si="2"/>
        <v>0.00315</v>
      </c>
      <c r="R53" s="223">
        <f t="shared" si="3"/>
        <v>1</v>
      </c>
      <c r="S53" s="223">
        <f t="shared" si="4"/>
        <v>11</v>
      </c>
      <c r="T53" s="223">
        <f t="shared" si="5"/>
        <v>11</v>
      </c>
      <c r="U53" s="225">
        <f t="shared" si="6"/>
        <v>1</v>
      </c>
      <c r="V53" s="287">
        <f t="shared" si="7"/>
      </c>
      <c r="W53" s="289" t="s">
        <v>1130</v>
      </c>
      <c r="Y53" s="324" t="str">
        <f>IF(A53="new.cod","NEWCOD",IF(AND((Z53=""),ISTEXT(A53)),A53,IF(Z53="","",INDEX('liste reference'!$A$8:$A$904,Z53))))</f>
        <v>LYCEUR</v>
      </c>
      <c r="Z53" s="183">
        <f>IF(ISERROR(MATCH(A53,'liste reference'!$A$8:$A$904,0)),IF(ISERROR(MATCH(A53,'liste reference'!$B$8:$B$904,0)),"",(MATCH(A53,'liste reference'!$B$8:$B$904,0))),(MATCH(A53,'liste reference'!$A$8:$A$904,0)))</f>
        <v>596</v>
      </c>
      <c r="AA53" s="385"/>
      <c r="AB53" s="372"/>
      <c r="AC53" s="372"/>
      <c r="BB53" s="183">
        <f t="shared" si="8"/>
        <v>1</v>
      </c>
    </row>
    <row r="54" spans="1:54" ht="12.75">
      <c r="A54" s="322" t="s">
        <v>453</v>
      </c>
      <c r="B54" s="241">
        <v>0.005</v>
      </c>
      <c r="C54" s="242">
        <v>0.005</v>
      </c>
      <c r="D54" s="221" t="str">
        <f>IF(ISERROR(VLOOKUP($A54,'liste reference'!$A$7:$D$904,2,0)),IF(ISERROR(VLOOKUP($A54,'liste reference'!$B$7:$D$904,1,0)),"",VLOOKUP($A54,'liste reference'!$B$7:$D$904,1,0)),VLOOKUP($A54,'liste reference'!$A$7:$D$904,2,0))</f>
        <v>Lythrum salicaria</v>
      </c>
      <c r="E54" s="224" t="e">
        <f>IF(D54="",,VLOOKUP(D54,D$22:D53,1,0))</f>
        <v>#N/A</v>
      </c>
      <c r="F54" s="39">
        <f t="shared" si="1"/>
        <v>0.005</v>
      </c>
      <c r="G54" s="507" t="str">
        <f>IF(A54="","",IF(ISERROR(VLOOKUP($A54,'liste reference'!$A$7:$P$904,13,0)),IF(ISERROR(VLOOKUP($A54,'liste reference'!$B$7:$P$904,12,0)),"    -",VLOOKUP($A54,'liste reference'!$B$7:$P$904,12,0)),VLOOKUP($A54,'liste reference'!$A$7:$P$904,13,0)))</f>
        <v>PHe</v>
      </c>
      <c r="H54" s="508">
        <f>IF(A54="","x",IF(ISERROR(VLOOKUP($A54,'liste reference'!$A$8:$P$904,14,0)),IF(ISERROR(VLOOKUP($A54,'liste reference'!$B$8:$P$904,13,0)),"x",VLOOKUP($A54,'liste reference'!$B$8:$P$904,13,0)),VLOOKUP($A54,'liste reference'!$A$8:$P$904,14,0)))</f>
        <v>8</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t="str">
        <f>IF(A54="NEWCOD",IF(AB54="","Remplir le champs 'Nouveau taxa' svp.",$AB54),IF(ISTEXT($E54),"DEJA SAISI !",IF(A54="","",IF(ISERROR(VLOOKUP($A54,'liste reference'!$A$7:$D$904,2,0)),IF(ISERROR(VLOOKUP($A54,'liste reference'!$B$7:$D$904,1,0)),"code non répertorié ou synonyme",VLOOKUP($A54,'liste reference'!$B$7:$D$904,1,0)),VLOOKUP(A54,'liste reference'!$A$7:$D$904,2,0)))))</f>
        <v>Lythrum salicaria</v>
      </c>
      <c r="L54" s="333"/>
      <c r="M54" s="333"/>
      <c r="N54" s="333"/>
      <c r="O54" s="367"/>
      <c r="P54" s="367">
        <f>IF($A54="NEWCOD",IF($AC54="","No",$AC54),IF(ISTEXT($E54),"DEJA SAISI !",IF($A54="","",IF(ISERROR(VLOOKUP($A54,'liste reference'!A:S,19,FALSE)),IF(ISERROR(VLOOKUP($A54,'liste reference'!B:S,19,FALSE)),"",VLOOKUP($A54,'liste reference'!B:S,19,FALSE)),VLOOKUP($A54,'liste reference'!A:S,19,FALSE)))))</f>
        <v>1823</v>
      </c>
      <c r="Q54" s="222">
        <f t="shared" si="2"/>
        <v>0.005</v>
      </c>
      <c r="R54" s="223">
        <f t="shared" si="3"/>
        <v>1</v>
      </c>
      <c r="S54" s="223">
        <f t="shared" si="4"/>
        <v>0</v>
      </c>
      <c r="T54" s="223">
        <f t="shared" si="5"/>
        <v>0</v>
      </c>
      <c r="U54" s="225">
        <f t="shared" si="6"/>
        <v>0</v>
      </c>
      <c r="V54" s="287">
        <f t="shared" si="7"/>
      </c>
      <c r="W54" s="289" t="s">
        <v>1130</v>
      </c>
      <c r="Y54" s="324" t="str">
        <f>IF(A54="new.cod","NEWCOD",IF(AND((Z54=""),ISTEXT(A54)),A54,IF(Z54="","",INDEX('liste reference'!$A$8:$A$904,Z54))))</f>
        <v>LYTSAL</v>
      </c>
      <c r="Z54" s="183">
        <f>IF(ISERROR(MATCH(A54,'liste reference'!$A$8:$A$904,0)),IF(ISERROR(MATCH(A54,'liste reference'!$B$8:$B$904,0)),"",(MATCH(A54,'liste reference'!$B$8:$B$904,0))),(MATCH(A54,'liste reference'!$A$8:$A$904,0)))</f>
        <v>605</v>
      </c>
      <c r="AA54" s="385"/>
      <c r="AB54" s="372"/>
      <c r="AC54" s="372"/>
      <c r="BB54" s="183">
        <f t="shared" si="8"/>
        <v>1</v>
      </c>
    </row>
    <row r="55" spans="1:54" ht="12.75">
      <c r="A55" s="322" t="s">
        <v>470</v>
      </c>
      <c r="B55" s="241">
        <v>0.01</v>
      </c>
      <c r="C55" s="242"/>
      <c r="D55" s="221" t="str">
        <f>IF(ISERROR(VLOOKUP($A55,'liste reference'!$A$7:$D$904,2,0)),IF(ISERROR(VLOOKUP($A55,'liste reference'!$B$7:$D$904,1,0)),"",VLOOKUP($A55,'liste reference'!$B$7:$D$904,1,0)),VLOOKUP($A55,'liste reference'!$A$7:$D$904,2,0))</f>
        <v>Nasturtium officinale</v>
      </c>
      <c r="E55" s="224" t="e">
        <f>IF(D55="",,VLOOKUP(D55,D$22:D54,1,0))</f>
        <v>#N/A</v>
      </c>
      <c r="F55" s="39">
        <f aca="true" t="shared" si="9" ref="F55:F82">($B55*$B$7+$C55*$C$7)/100</f>
        <v>0.0063</v>
      </c>
      <c r="G55" s="507" t="str">
        <f>IF(A55="","",IF(ISERROR(VLOOKUP($A55,'liste reference'!$A$7:$P$904,13,0)),IF(ISERROR(VLOOKUP($A55,'liste reference'!$B$7:$P$904,12,0)),"    -",VLOOKUP($A55,'liste reference'!$B$7:$P$904,12,0)),VLOOKUP($A55,'liste reference'!$A$7:$P$904,13,0)))</f>
        <v>PHe</v>
      </c>
      <c r="H55" s="508">
        <f>IF(A55="","x",IF(ISERROR(VLOOKUP($A55,'liste reference'!$A$8:$P$904,14,0)),IF(ISERROR(VLOOKUP($A55,'liste reference'!$B$8:$P$904,13,0)),"x",VLOOKUP($A55,'liste reference'!$B$8:$P$904,13,0)),VLOOKUP($A55,'liste reference'!$A$8:$P$904,14,0)))</f>
        <v>8</v>
      </c>
      <c r="I55" s="509">
        <f>IF(ISNUMBER(H55),IF(ISERROR(VLOOKUP($A55,'liste reference'!$A$7:$P$904,3,0)),IF(ISERROR(VLOOKUP($A55,'liste reference'!$B$7:$P$904,2,0)),"",VLOOKUP($A55,'liste reference'!$B$7:$P$904,2,0)),VLOOKUP($A55,'liste reference'!$A$7:$P$904,3,0)),"")</f>
        <v>11</v>
      </c>
      <c r="J55" s="509">
        <f>IF(ISNUMBER(H55),IF(ISERROR(VLOOKUP($A55,'liste reference'!$A$7:$P$904,4,0)),IF(ISERROR(VLOOKUP($A55,'liste reference'!$B$7:$P$904,3,0)),"",VLOOKUP($A55,'liste reference'!$B$7:$P$904,3,0)),VLOOKUP($A55,'liste reference'!$A$7:$P$904,4,0)),"")</f>
        <v>1</v>
      </c>
      <c r="K55" s="587" t="str">
        <f>IF(A55="NEWCOD",IF(AB55="","Remplir le champs 'Nouveau taxa' svp.",$AB55),IF(ISTEXT($E55),"DEJA SAISI !",IF(A55="","",IF(ISERROR(VLOOKUP($A55,'liste reference'!$A$7:$D$904,2,0)),IF(ISERROR(VLOOKUP($A55,'liste reference'!$B$7:$D$904,1,0)),"code non répertorié ou synonyme",VLOOKUP($A55,'liste reference'!$B$7:$D$904,1,0)),VLOOKUP(A55,'liste reference'!$A$7:$D$904,2,0)))))</f>
        <v>Nasturtium officinale</v>
      </c>
      <c r="L55" s="333"/>
      <c r="M55" s="333"/>
      <c r="N55" s="333"/>
      <c r="O55" s="367"/>
      <c r="P55" s="367">
        <f>IF($A55="NEWCOD",IF($AC55="","No",$AC55),IF(ISTEXT($E55),"DEJA SAISI !",IF($A55="","",IF(ISERROR(VLOOKUP($A55,'liste reference'!A:S,19,FALSE)),IF(ISERROR(VLOOKUP($A55,'liste reference'!B:S,19,FALSE)),"",VLOOKUP($A55,'liste reference'!B:S,19,FALSE)),VLOOKUP($A55,'liste reference'!A:S,19,FALSE)))))</f>
        <v>1763</v>
      </c>
      <c r="Q55" s="222">
        <f aca="true" t="shared" si="10" ref="Q55:Q82">IF(ISTEXT(H55),"",(B55*$B$7/100)+(C55*$C$7/100))</f>
        <v>0.0063</v>
      </c>
      <c r="R55" s="223">
        <f aca="true" t="shared" si="11" ref="R55:R82">IF(OR(ISTEXT(H55),Q55=0),"",IF(Q55&lt;0.1,1,IF(Q55&lt;1,2,IF(Q55&lt;10,3,IF(Q55&lt;50,4,IF(Q55&gt;=50,5,""))))))</f>
        <v>1</v>
      </c>
      <c r="S55" s="223">
        <f aca="true" t="shared" si="12" ref="S55:S82">IF(ISERROR(R55*I55),0,R55*I55)</f>
        <v>11</v>
      </c>
      <c r="T55" s="223">
        <f aca="true" t="shared" si="13" ref="T55:T82">IF(ISERROR(R55*I55*J55),0,R55*I55*J55)</f>
        <v>11</v>
      </c>
      <c r="U55" s="225">
        <f aca="true" t="shared" si="14" ref="U55:U82">IF(ISERROR(R55*J55),0,R55*J55)</f>
        <v>1</v>
      </c>
      <c r="V55" s="287">
        <f aca="true" t="shared" si="15" ref="V55:V82">IF(AND(A55="",F55=0),"",IF(F55=0,"Il manque le(s) % de rec. !",""))</f>
      </c>
      <c r="W55" s="289" t="s">
        <v>1130</v>
      </c>
      <c r="Y55" s="324" t="str">
        <f>IF(A55="new.cod","NEWCOD",IF(AND((Z55=""),ISTEXT(A55)),A55,IF(Z55="","",INDEX('liste reference'!$A$8:$A$904,Z55))))</f>
        <v>NASOFF</v>
      </c>
      <c r="Z55" s="183">
        <f>IF(ISERROR(MATCH(A55,'liste reference'!$A$8:$A$904,0)),IF(ISERROR(MATCH(A55,'liste reference'!$B$8:$B$904,0)),"",(MATCH(A55,'liste reference'!$B$8:$B$904,0))),(MATCH(A55,'liste reference'!$A$8:$A$904,0)))</f>
        <v>628</v>
      </c>
      <c r="AA55" s="385"/>
      <c r="AB55" s="372"/>
      <c r="AC55" s="372"/>
      <c r="BB55" s="183">
        <f aca="true" t="shared" si="16" ref="BB55:BB82">IF(A55="","",1)</f>
        <v>1</v>
      </c>
    </row>
    <row r="56" spans="1:54" ht="12.75">
      <c r="A56" s="322" t="s">
        <v>479</v>
      </c>
      <c r="B56" s="241"/>
      <c r="C56" s="242">
        <v>0.005</v>
      </c>
      <c r="D56" s="221" t="str">
        <f>IF(ISERROR(VLOOKUP($A56,'liste reference'!$A$7:$D$904,2,0)),IF(ISERROR(VLOOKUP($A56,'liste reference'!$B$7:$D$904,1,0)),"",VLOOKUP($A56,'liste reference'!$B$7:$D$904,1,0)),VLOOKUP($A56,'liste reference'!$A$7:$D$904,2,0))</f>
        <v>Polygonum hydropiper</v>
      </c>
      <c r="E56" s="224" t="e">
        <f>IF(D56="",,VLOOKUP(D56,D$22:D55,1,0))</f>
        <v>#N/A</v>
      </c>
      <c r="F56" s="39">
        <f t="shared" si="9"/>
        <v>0.00185</v>
      </c>
      <c r="G56" s="507" t="str">
        <f>IF(A56="","",IF(ISERROR(VLOOKUP($A56,'liste reference'!$A$7:$P$904,13,0)),IF(ISERROR(VLOOKUP($A56,'liste reference'!$B$7:$P$904,12,0)),"    -",VLOOKUP($A56,'liste reference'!$B$7:$P$904,12,0)),VLOOKUP($A56,'liste reference'!$A$7:$P$904,13,0)))</f>
        <v>PHe</v>
      </c>
      <c r="H56" s="508">
        <f>IF(A56="","x",IF(ISERROR(VLOOKUP($A56,'liste reference'!$A$8:$P$904,14,0)),IF(ISERROR(VLOOKUP($A56,'liste reference'!$B$8:$P$904,13,0)),"x",VLOOKUP($A56,'liste reference'!$B$8:$P$904,13,0)),VLOOKUP($A56,'liste reference'!$A$8:$P$904,14,0)))</f>
        <v>8</v>
      </c>
      <c r="I56" s="509">
        <f>IF(ISNUMBER(H56),IF(ISERROR(VLOOKUP($A56,'liste reference'!$A$7:$P$904,3,0)),IF(ISERROR(VLOOKUP($A56,'liste reference'!$B$7:$P$904,2,0)),"",VLOOKUP($A56,'liste reference'!$B$7:$P$904,2,0)),VLOOKUP($A56,'liste reference'!$A$7:$P$904,3,0)),"")</f>
        <v>8</v>
      </c>
      <c r="J56" s="509">
        <f>IF(ISNUMBER(H56),IF(ISERROR(VLOOKUP($A56,'liste reference'!$A$7:$P$904,4,0)),IF(ISERROR(VLOOKUP($A56,'liste reference'!$B$7:$P$904,3,0)),"",VLOOKUP($A56,'liste reference'!$B$7:$P$904,3,0)),VLOOKUP($A56,'liste reference'!$A$7:$P$904,4,0)),"")</f>
        <v>2</v>
      </c>
      <c r="K56" s="587" t="str">
        <f>IF(A56="NEWCOD",IF(AB56="","Remplir le champs 'Nouveau taxa' svp.",$AB56),IF(ISTEXT($E56),"DEJA SAISI !",IF(A56="","",IF(ISERROR(VLOOKUP($A56,'liste reference'!$A$7:$D$904,2,0)),IF(ISERROR(VLOOKUP($A56,'liste reference'!$B$7:$D$904,1,0)),"code non répertorié ou synonyme",VLOOKUP($A56,'liste reference'!$B$7:$D$904,1,0)),VLOOKUP(A56,'liste reference'!$A$7:$D$904,2,0)))))</f>
        <v>Polygonum hydropiper</v>
      </c>
      <c r="L56" s="332"/>
      <c r="M56" s="332"/>
      <c r="N56" s="332"/>
      <c r="O56" s="367"/>
      <c r="P56" s="368">
        <f>IF($A56="NEWCOD",IF($AC56="","No",$AC56),IF(ISTEXT($E56),"DEJA SAISI !",IF($A56="","",IF(ISERROR(VLOOKUP($A56,'liste reference'!A:S,19,FALSE)),IF(ISERROR(VLOOKUP($A56,'liste reference'!B:S,19,FALSE)),"",VLOOKUP($A56,'liste reference'!B:S,19,FALSE)),VLOOKUP($A56,'liste reference'!A:S,19,FALSE)))))</f>
        <v>1865</v>
      </c>
      <c r="Q56" s="222">
        <f t="shared" si="10"/>
        <v>0.00185</v>
      </c>
      <c r="R56" s="223">
        <f t="shared" si="11"/>
        <v>1</v>
      </c>
      <c r="S56" s="223">
        <f t="shared" si="12"/>
        <v>8</v>
      </c>
      <c r="T56" s="223">
        <f t="shared" si="13"/>
        <v>16</v>
      </c>
      <c r="U56" s="225">
        <f t="shared" si="14"/>
        <v>2</v>
      </c>
      <c r="V56" s="287">
        <f t="shared" si="15"/>
      </c>
      <c r="W56" s="289" t="s">
        <v>1130</v>
      </c>
      <c r="Y56" s="324" t="str">
        <f>IF(A56="new.cod","NEWCOD",IF(AND((Z56=""),ISTEXT(A56)),A56,IF(Z56="","",INDEX('liste reference'!$A$8:$A$904,Z56))))</f>
        <v>POLHYD</v>
      </c>
      <c r="Z56" s="183">
        <f>IF(ISERROR(MATCH(A56,'liste reference'!$A$8:$A$904,0)),IF(ISERROR(MATCH(A56,'liste reference'!$B$8:$B$904,0)),"",(MATCH(A56,'liste reference'!$B$8:$B$904,0))),(MATCH(A56,'liste reference'!$A$8:$A$904,0)))</f>
        <v>637</v>
      </c>
      <c r="AA56" s="385"/>
      <c r="AB56" s="372"/>
      <c r="AC56" s="372"/>
      <c r="BB56" s="183">
        <f t="shared" si="16"/>
        <v>1</v>
      </c>
    </row>
    <row r="57" spans="1:54" ht="12.75">
      <c r="A57" s="322" t="s">
        <v>506</v>
      </c>
      <c r="B57" s="241"/>
      <c r="C57" s="242">
        <v>0.01</v>
      </c>
      <c r="D57" s="221" t="str">
        <f>IF(ISERROR(VLOOKUP($A57,'liste reference'!$A$7:$D$904,2,0)),IF(ISERROR(VLOOKUP($A57,'liste reference'!$B$7:$D$904,1,0)),"",VLOOKUP($A57,'liste reference'!$B$7:$D$904,1,0)),VLOOKUP($A57,'liste reference'!$A$7:$D$904,2,0))</f>
        <v>Sparganium erectum</v>
      </c>
      <c r="E57" s="224" t="e">
        <f>IF(D57="",,VLOOKUP(D57,D$22:D56,1,0))</f>
        <v>#N/A</v>
      </c>
      <c r="F57" s="39">
        <f t="shared" si="9"/>
        <v>0.0037</v>
      </c>
      <c r="G57" s="507" t="str">
        <f>IF(A57="","",IF(ISERROR(VLOOKUP($A57,'liste reference'!$A$7:$P$904,13,0)),IF(ISERROR(VLOOKUP($A57,'liste reference'!$B$7:$P$904,12,0)),"    -",VLOOKUP($A57,'liste reference'!$B$7:$P$904,12,0)),VLOOKUP($A57,'liste reference'!$A$7:$P$904,13,0)))</f>
        <v>PHe</v>
      </c>
      <c r="H57" s="508">
        <f>IF(A57="","x",IF(ISERROR(VLOOKUP($A57,'liste reference'!$A$8:$P$904,14,0)),IF(ISERROR(VLOOKUP($A57,'liste reference'!$B$8:$P$904,13,0)),"x",VLOOKUP($A57,'liste reference'!$B$8:$P$904,13,0)),VLOOKUP($A57,'liste reference'!$A$8:$P$904,14,0)))</f>
        <v>8</v>
      </c>
      <c r="I57" s="509">
        <f>IF(ISNUMBER(H57),IF(ISERROR(VLOOKUP($A57,'liste reference'!$A$7:$P$904,3,0)),IF(ISERROR(VLOOKUP($A57,'liste reference'!$B$7:$P$904,2,0)),"",VLOOKUP($A57,'liste reference'!$B$7:$P$904,2,0)),VLOOKUP($A57,'liste reference'!$A$7:$P$904,3,0)),"")</f>
        <v>10</v>
      </c>
      <c r="J57" s="509">
        <f>IF(ISNUMBER(H57),IF(ISERROR(VLOOKUP($A57,'liste reference'!$A$7:$P$904,4,0)),IF(ISERROR(VLOOKUP($A57,'liste reference'!$B$7:$P$904,3,0)),"",VLOOKUP($A57,'liste reference'!$B$7:$P$904,3,0)),VLOOKUP($A57,'liste reference'!$A$7:$P$904,4,0)),"")</f>
        <v>1</v>
      </c>
      <c r="K57" s="587" t="str">
        <f>IF(A57="NEWCOD",IF(AB57="","Remplir le champs 'Nouveau taxa' svp.",$AB57),IF(ISTEXT($E57),"DEJA SAISI !",IF(A57="","",IF(ISERROR(VLOOKUP($A57,'liste reference'!$A$7:$D$904,2,0)),IF(ISERROR(VLOOKUP($A57,'liste reference'!$B$7:$D$904,1,0)),"code non répertorié ou synonyme",VLOOKUP($A57,'liste reference'!$B$7:$D$904,1,0)),VLOOKUP(A57,'liste reference'!$A$7:$D$904,2,0)))))</f>
        <v>Sparganium erectum</v>
      </c>
      <c r="L57" s="333"/>
      <c r="M57" s="333"/>
      <c r="N57" s="333"/>
      <c r="O57" s="367"/>
      <c r="P57" s="367">
        <f>IF($A57="NEWCOD",IF($AC57="","No",$AC57),IF(ISTEXT($E57),"DEJA SAISI !",IF($A57="","",IF(ISERROR(VLOOKUP($A57,'liste reference'!A:S,19,FALSE)),IF(ISERROR(VLOOKUP($A57,'liste reference'!B:S,19,FALSE)),"",VLOOKUP($A57,'liste reference'!B:S,19,FALSE)),VLOOKUP($A57,'liste reference'!A:S,19,FALSE)))))</f>
        <v>1671</v>
      </c>
      <c r="Q57" s="222">
        <f t="shared" si="10"/>
        <v>0.0037</v>
      </c>
      <c r="R57" s="223">
        <f t="shared" si="11"/>
        <v>1</v>
      </c>
      <c r="S57" s="223">
        <f t="shared" si="12"/>
        <v>10</v>
      </c>
      <c r="T57" s="223">
        <f t="shared" si="13"/>
        <v>10</v>
      </c>
      <c r="U57" s="225">
        <f t="shared" si="14"/>
        <v>1</v>
      </c>
      <c r="V57" s="287">
        <f t="shared" si="15"/>
      </c>
      <c r="W57" s="289" t="s">
        <v>1130</v>
      </c>
      <c r="Y57" s="324" t="str">
        <f>IF(A57="new.cod","NEWCOD",IF(AND((Z57=""),ISTEXT(A57)),A57,IF(Z57="","",INDEX('liste reference'!$A$8:$A$904,Z57))))</f>
        <v>SPAERE</v>
      </c>
      <c r="Z57" s="183">
        <f>IF(ISERROR(MATCH(A57,'liste reference'!$A$8:$A$904,0)),IF(ISERROR(MATCH(A57,'liste reference'!$B$8:$B$904,0)),"",(MATCH(A57,'liste reference'!$B$8:$B$904,0))),(MATCH(A57,'liste reference'!$A$8:$A$904,0)))</f>
        <v>668</v>
      </c>
      <c r="AA57" s="385"/>
      <c r="AB57" s="372"/>
      <c r="AC57" s="372"/>
      <c r="BB57" s="183">
        <f t="shared" si="16"/>
        <v>1</v>
      </c>
    </row>
    <row r="58" spans="1:54" ht="12.75">
      <c r="A58" s="322" t="s">
        <v>517</v>
      </c>
      <c r="B58" s="241">
        <v>0.02</v>
      </c>
      <c r="C58" s="242">
        <v>0.01</v>
      </c>
      <c r="D58" s="221" t="str">
        <f>IF(ISERROR(VLOOKUP($A58,'liste reference'!$A$7:$D$904,2,0)),IF(ISERROR(VLOOKUP($A58,'liste reference'!$B$7:$D$904,1,0)),"",VLOOKUP($A58,'liste reference'!$B$7:$D$904,1,0)),VLOOKUP($A58,'liste reference'!$A$7:$D$904,2,0))</f>
        <v>Veronica anagallis-aquatica</v>
      </c>
      <c r="E58" s="224" t="e">
        <f>IF(D58="",,VLOOKUP(D58,D$22:D57,1,0))</f>
        <v>#N/A</v>
      </c>
      <c r="F58" s="39">
        <f t="shared" si="9"/>
        <v>0.0163</v>
      </c>
      <c r="G58" s="507" t="str">
        <f>IF(A58="","",IF(ISERROR(VLOOKUP($A58,'liste reference'!$A$7:$P$904,13,0)),IF(ISERROR(VLOOKUP($A58,'liste reference'!$B$7:$P$904,12,0)),"    -",VLOOKUP($A58,'liste reference'!$B$7:$P$904,12,0)),VLOOKUP($A58,'liste reference'!$A$7:$P$904,13,0)))</f>
        <v>PHe</v>
      </c>
      <c r="H58" s="508">
        <f>IF(A58="","x",IF(ISERROR(VLOOKUP($A58,'liste reference'!$A$8:$P$904,14,0)),IF(ISERROR(VLOOKUP($A58,'liste reference'!$B$8:$P$904,13,0)),"x",VLOOKUP($A58,'liste reference'!$B$8:$P$904,13,0)),VLOOKUP($A58,'liste reference'!$A$8:$P$904,14,0)))</f>
        <v>8</v>
      </c>
      <c r="I58" s="509">
        <f>IF(ISNUMBER(H58),IF(ISERROR(VLOOKUP($A58,'liste reference'!$A$7:$P$904,3,0)),IF(ISERROR(VLOOKUP($A58,'liste reference'!$B$7:$P$904,2,0)),"",VLOOKUP($A58,'liste reference'!$B$7:$P$904,2,0)),VLOOKUP($A58,'liste reference'!$A$7:$P$904,3,0)),"")</f>
        <v>11</v>
      </c>
      <c r="J58" s="509">
        <f>IF(ISNUMBER(H58),IF(ISERROR(VLOOKUP($A58,'liste reference'!$A$7:$P$904,4,0)),IF(ISERROR(VLOOKUP($A58,'liste reference'!$B$7:$P$904,3,0)),"",VLOOKUP($A58,'liste reference'!$B$7:$P$904,3,0)),VLOOKUP($A58,'liste reference'!$A$7:$P$904,4,0)),"")</f>
        <v>2</v>
      </c>
      <c r="K58" s="587" t="str">
        <f>IF(A58="NEWCOD",IF(AB58="","Remplir le champs 'Nouveau taxa' svp.",$AB58),IF(ISTEXT($E58),"DEJA SAISI !",IF(A58="","",IF(ISERROR(VLOOKUP($A58,'liste reference'!$A$7:$D$904,2,0)),IF(ISERROR(VLOOKUP($A58,'liste reference'!$B$7:$D$904,1,0)),"code non répertorié ou synonyme",VLOOKUP($A58,'liste reference'!$B$7:$D$904,1,0)),VLOOKUP(A58,'liste reference'!$A$7:$D$904,2,0)))))</f>
        <v>Veronica anagallis-aquatica</v>
      </c>
      <c r="L58" s="333"/>
      <c r="M58" s="333"/>
      <c r="N58" s="333"/>
      <c r="O58" s="367"/>
      <c r="P58" s="367">
        <f>IF($A58="NEWCOD",IF($AC58="","No",$AC58),IF(ISTEXT($E58),"DEJA SAISI !",IF($A58="","",IF(ISERROR(VLOOKUP($A58,'liste reference'!A:S,19,FALSE)),IF(ISERROR(VLOOKUP($A58,'liste reference'!B:S,19,FALSE)),"",VLOOKUP($A58,'liste reference'!B:S,19,FALSE)),VLOOKUP($A58,'liste reference'!A:S,19,FALSE)))))</f>
        <v>1955</v>
      </c>
      <c r="Q58" s="222">
        <f t="shared" si="10"/>
        <v>0.016300000000000002</v>
      </c>
      <c r="R58" s="223">
        <f t="shared" si="11"/>
        <v>1</v>
      </c>
      <c r="S58" s="223">
        <f t="shared" si="12"/>
        <v>11</v>
      </c>
      <c r="T58" s="223">
        <f t="shared" si="13"/>
        <v>22</v>
      </c>
      <c r="U58" s="225">
        <f t="shared" si="14"/>
        <v>2</v>
      </c>
      <c r="V58" s="287">
        <f t="shared" si="15"/>
      </c>
      <c r="W58" s="289" t="s">
        <v>1130</v>
      </c>
      <c r="Y58" s="324" t="str">
        <f>IF(A58="new.cod","NEWCOD",IF(AND((Z58=""),ISTEXT(A58)),A58,IF(Z58="","",INDEX('liste reference'!$A$8:$A$904,Z58))))</f>
        <v>VERANA</v>
      </c>
      <c r="Z58" s="183">
        <f>IF(ISERROR(MATCH(A58,'liste reference'!$A$8:$A$904,0)),IF(ISERROR(MATCH(A58,'liste reference'!$B$8:$B$904,0)),"",(MATCH(A58,'liste reference'!$B$8:$B$904,0))),(MATCH(A58,'liste reference'!$A$8:$A$904,0)))</f>
        <v>682</v>
      </c>
      <c r="AA58" s="385"/>
      <c r="AB58" s="372"/>
      <c r="AC58" s="372"/>
      <c r="BB58" s="183">
        <f t="shared" si="16"/>
        <v>1</v>
      </c>
    </row>
    <row r="59" spans="1:54" ht="12.75">
      <c r="A59" s="322" t="s">
        <v>250</v>
      </c>
      <c r="B59" s="241"/>
      <c r="C59" s="242">
        <v>0.005</v>
      </c>
      <c r="D59" s="221" t="str">
        <f>IF(ISERROR(VLOOKUP($A59,'liste reference'!$A$7:$D$904,2,0)),IF(ISERROR(VLOOKUP($A59,'liste reference'!$B$7:$D$904,1,0)),"",VLOOKUP($A59,'liste reference'!$B$7:$D$904,1,0)),VLOOKUP($A59,'liste reference'!$A$7:$D$904,2,0))</f>
        <v>Cyperus eragrostis</v>
      </c>
      <c r="E59" s="224" t="e">
        <f>IF(D59="",,VLOOKUP(D59,D$22:D58,1,0))</f>
        <v>#N/A</v>
      </c>
      <c r="F59" s="39">
        <f t="shared" si="9"/>
        <v>0.00185</v>
      </c>
      <c r="G59" s="507" t="str">
        <f>IF(A59="","",IF(ISERROR(VLOOKUP($A59,'liste reference'!$A$7:$P$904,13,0)),IF(ISERROR(VLOOKUP($A59,'liste reference'!$B$7:$P$904,12,0)),"    -",VLOOKUP($A59,'liste reference'!$B$7:$P$904,12,0)),VLOOKUP($A59,'liste reference'!$A$7:$P$904,13,0)))</f>
        <v>PHg</v>
      </c>
      <c r="H59" s="508">
        <f>IF(A59="","x",IF(ISERROR(VLOOKUP($A59,'liste reference'!$A$8:$P$904,14,0)),IF(ISERROR(VLOOKUP($A59,'liste reference'!$B$8:$P$904,13,0)),"x",VLOOKUP($A59,'liste reference'!$B$8:$P$904,13,0)),VLOOKUP($A59,'liste reference'!$A$8:$P$904,14,0)))</f>
        <v>9</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t="str">
        <f>IF(A59="NEWCOD",IF(AB59="","Remplir le champs 'Nouveau taxa' svp.",$AB59),IF(ISTEXT($E59),"DEJA SAISI !",IF(A59="","",IF(ISERROR(VLOOKUP($A59,'liste reference'!$A$7:$D$904,2,0)),IF(ISERROR(VLOOKUP($A59,'liste reference'!$B$7:$D$904,1,0)),"code non répertorié ou synonyme",VLOOKUP($A59,'liste reference'!$B$7:$D$904,1,0)),VLOOKUP(A59,'liste reference'!$A$7:$D$904,2,0)))))</f>
        <v>Cyperus eragrostis</v>
      </c>
      <c r="L59" s="333"/>
      <c r="M59" s="333"/>
      <c r="N59" s="333"/>
      <c r="O59" s="367"/>
      <c r="P59" s="367">
        <f>IF($A59="NEWCOD",IF($AC59="","No",$AC59),IF(ISTEXT($E59),"DEJA SAISI !",IF($A59="","",IF(ISERROR(VLOOKUP($A59,'liste reference'!A:S,19,FALSE)),IF(ISERROR(VLOOKUP($A59,'liste reference'!B:S,19,FALSE)),"",VLOOKUP($A59,'liste reference'!B:S,19,FALSE)),VLOOKUP($A59,'liste reference'!A:S,19,FALSE)))))</f>
        <v>19611</v>
      </c>
      <c r="Q59" s="222">
        <f t="shared" si="10"/>
        <v>0.00185</v>
      </c>
      <c r="R59" s="223">
        <f t="shared" si="11"/>
        <v>1</v>
      </c>
      <c r="S59" s="223">
        <f t="shared" si="12"/>
        <v>0</v>
      </c>
      <c r="T59" s="223">
        <f t="shared" si="13"/>
        <v>0</v>
      </c>
      <c r="U59" s="225">
        <f t="shared" si="14"/>
        <v>0</v>
      </c>
      <c r="V59" s="287">
        <f t="shared" si="15"/>
      </c>
      <c r="W59" s="289" t="s">
        <v>1130</v>
      </c>
      <c r="X59" s="289"/>
      <c r="Y59" s="324" t="str">
        <f>IF(A59="new.cod","NEWCOD",IF(AND((Z59=""),ISTEXT(A59)),A59,IF(Z59="","",INDEX('liste reference'!$A$8:$A$904,Z59))))</f>
        <v>CYPERA</v>
      </c>
      <c r="Z59" s="183">
        <f>IF(ISERROR(MATCH(A59,'liste reference'!$A$8:$A$904,0)),IF(ISERROR(MATCH(A59,'liste reference'!$B$8:$B$904,0)),"",(MATCH(A59,'liste reference'!$B$8:$B$904,0))),(MATCH(A59,'liste reference'!$A$8:$A$904,0)))</f>
        <v>723</v>
      </c>
      <c r="AA59" s="385"/>
      <c r="AB59" s="372"/>
      <c r="AC59" s="372"/>
      <c r="BB59" s="183">
        <f t="shared" si="16"/>
        <v>1</v>
      </c>
    </row>
    <row r="60" spans="1:54" ht="12.75">
      <c r="A60" s="322" t="s">
        <v>294</v>
      </c>
      <c r="B60" s="241">
        <v>0.005</v>
      </c>
      <c r="C60" s="242"/>
      <c r="D60" s="221" t="str">
        <f>IF(ISERROR(VLOOKUP($A60,'liste reference'!$A$7:$D$904,2,0)),IF(ISERROR(VLOOKUP($A60,'liste reference'!$B$7:$D$904,1,0)),"",VLOOKUP($A60,'liste reference'!$B$7:$D$904,1,0)),VLOOKUP($A60,'liste reference'!$A$7:$D$904,2,0))</f>
        <v>Juncus articulatus</v>
      </c>
      <c r="E60" s="224" t="e">
        <f>IF(D60="",,VLOOKUP(D60,D$22:D59,1,0))</f>
        <v>#N/A</v>
      </c>
      <c r="F60" s="39">
        <f t="shared" si="9"/>
        <v>0.00315</v>
      </c>
      <c r="G60" s="507" t="str">
        <f>IF(A60="","",IF(ISERROR(VLOOKUP($A60,'liste reference'!$A$7:$P$904,13,0)),IF(ISERROR(VLOOKUP($A60,'liste reference'!$B$7:$P$904,12,0)),"    -",VLOOKUP($A60,'liste reference'!$B$7:$P$904,12,0)),VLOOKUP($A60,'liste reference'!$A$7:$P$904,13,0)))</f>
        <v>PHg</v>
      </c>
      <c r="H60" s="508">
        <f>IF(A60="","x",IF(ISERROR(VLOOKUP($A60,'liste reference'!$A$8:$P$904,14,0)),IF(ISERROR(VLOOKUP($A60,'liste reference'!$B$8:$P$904,13,0)),"x",VLOOKUP($A60,'liste reference'!$B$8:$P$904,13,0)),VLOOKUP($A60,'liste reference'!$A$8:$P$904,14,0)))</f>
        <v>9</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t="str">
        <f>IF(A60="NEWCOD",IF(AB60="","Remplir le champs 'Nouveau taxa' svp.",$AB60),IF(ISTEXT($E60),"DEJA SAISI !",IF(A60="","",IF(ISERROR(VLOOKUP($A60,'liste reference'!$A$7:$D$904,2,0)),IF(ISERROR(VLOOKUP($A60,'liste reference'!$B$7:$D$904,1,0)),"code non répertorié ou synonyme",VLOOKUP($A60,'liste reference'!$B$7:$D$904,1,0)),VLOOKUP(A60,'liste reference'!$A$7:$D$904,2,0)))))</f>
        <v>Juncus articulatus</v>
      </c>
      <c r="L60" s="333"/>
      <c r="M60" s="333"/>
      <c r="N60" s="333"/>
      <c r="O60" s="367"/>
      <c r="P60" s="367">
        <f>IF($A60="NEWCOD",IF($AC60="","No",$AC60),IF(ISTEXT($E60),"DEJA SAISI !",IF($A60="","",IF(ISERROR(VLOOKUP($A60,'liste reference'!A:S,19,FALSE)),IF(ISERROR(VLOOKUP($A60,'liste reference'!B:S,19,FALSE)),"",VLOOKUP($A60,'liste reference'!B:S,19,FALSE)),VLOOKUP($A60,'liste reference'!A:S,19,FALSE)))))</f>
        <v>1609</v>
      </c>
      <c r="Q60" s="222">
        <f t="shared" si="10"/>
        <v>0.00315</v>
      </c>
      <c r="R60" s="223">
        <f t="shared" si="11"/>
        <v>1</v>
      </c>
      <c r="S60" s="223">
        <f t="shared" si="12"/>
        <v>0</v>
      </c>
      <c r="T60" s="223">
        <f t="shared" si="13"/>
        <v>0</v>
      </c>
      <c r="U60" s="225">
        <f t="shared" si="14"/>
        <v>0</v>
      </c>
      <c r="V60" s="287">
        <f t="shared" si="15"/>
      </c>
      <c r="W60" s="289" t="s">
        <v>1130</v>
      </c>
      <c r="Y60" s="324" t="str">
        <f>IF(A60="new.cod","NEWCOD",IF(AND((Z60=""),ISTEXT(A60)),A60,IF(Z60="","",INDEX('liste reference'!$A$8:$A$904,Z60))))</f>
        <v>JUNART</v>
      </c>
      <c r="Z60" s="183">
        <f>IF(ISERROR(MATCH(A60,'liste reference'!$A$8:$A$904,0)),IF(ISERROR(MATCH(A60,'liste reference'!$B$8:$B$904,0)),"",(MATCH(A60,'liste reference'!$B$8:$B$904,0))),(MATCH(A60,'liste reference'!$A$8:$A$904,0)))</f>
        <v>768</v>
      </c>
      <c r="AA60" s="385"/>
      <c r="AB60" s="372"/>
      <c r="AC60" s="372"/>
      <c r="BB60" s="183">
        <f t="shared" si="16"/>
        <v>1</v>
      </c>
    </row>
    <row r="61" spans="1:54" ht="12.75">
      <c r="A61" s="322" t="s">
        <v>322</v>
      </c>
      <c r="B61" s="241"/>
      <c r="C61" s="242">
        <v>0.005</v>
      </c>
      <c r="D61" s="221" t="str">
        <f>IF(ISERROR(VLOOKUP($A61,'liste reference'!$A$7:$D$904,2,0)),IF(ISERROR(VLOOKUP($A61,'liste reference'!$B$7:$D$904,1,0)),"",VLOOKUP($A61,'liste reference'!$B$7:$D$904,1,0)),VLOOKUP($A61,'liste reference'!$A$7:$D$904,2,0))</f>
        <v>Polygonum lapathifolium</v>
      </c>
      <c r="E61" s="224" t="e">
        <f>IF(D61="",,VLOOKUP(D61,D$22:D60,1,0))</f>
        <v>#N/A</v>
      </c>
      <c r="F61" s="39">
        <f t="shared" si="9"/>
        <v>0.00185</v>
      </c>
      <c r="G61" s="507" t="str">
        <f>IF(A61="","",IF(ISERROR(VLOOKUP($A61,'liste reference'!$A$7:$P$904,13,0)),IF(ISERROR(VLOOKUP($A61,'liste reference'!$B$7:$P$904,12,0)),"    -",VLOOKUP($A61,'liste reference'!$B$7:$P$904,12,0)),VLOOKUP($A61,'liste reference'!$A$7:$P$904,13,0)))</f>
        <v>PHg</v>
      </c>
      <c r="H61" s="508">
        <f>IF(A61="","x",IF(ISERROR(VLOOKUP($A61,'liste reference'!$A$8:$P$904,14,0)),IF(ISERROR(VLOOKUP($A61,'liste reference'!$B$8:$P$904,13,0)),"x",VLOOKUP($A61,'liste reference'!$B$8:$P$904,13,0)),VLOOKUP($A61,'liste reference'!$A$8:$P$904,14,0)))</f>
        <v>9</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t="str">
        <f>IF(A61="NEWCOD",IF(AB61="","Remplir le champs 'Nouveau taxa' svp.",$AB61),IF(ISTEXT($E61),"DEJA SAISI !",IF(A61="","",IF(ISERROR(VLOOKUP($A61,'liste reference'!$A$7:$D$904,2,0)),IF(ISERROR(VLOOKUP($A61,'liste reference'!$B$7:$D$904,1,0)),"code non répertorié ou synonyme",VLOOKUP($A61,'liste reference'!$B$7:$D$904,1,0)),VLOOKUP(A61,'liste reference'!$A$7:$D$904,2,0)))))</f>
        <v>Polygonum lapathifolium</v>
      </c>
      <c r="L61" s="333"/>
      <c r="M61" s="333"/>
      <c r="N61" s="333"/>
      <c r="O61" s="367"/>
      <c r="P61" s="367">
        <f>IF($A61="NEWCOD",IF($AC61="","No",$AC61),IF(ISTEXT($E61),"DEJA SAISI !",IF($A61="","",IF(ISERROR(VLOOKUP($A61,'liste reference'!A:S,19,FALSE)),IF(ISERROR(VLOOKUP($A61,'liste reference'!B:S,19,FALSE)),"",VLOOKUP($A61,'liste reference'!B:S,19,FALSE)),VLOOKUP($A61,'liste reference'!A:S,19,FALSE)))))</f>
        <v>1866</v>
      </c>
      <c r="Q61" s="222">
        <f t="shared" si="10"/>
        <v>0.00185</v>
      </c>
      <c r="R61" s="223">
        <f t="shared" si="11"/>
        <v>1</v>
      </c>
      <c r="S61" s="223">
        <f t="shared" si="12"/>
        <v>0</v>
      </c>
      <c r="T61" s="223">
        <f t="shared" si="13"/>
        <v>0</v>
      </c>
      <c r="U61" s="225">
        <f t="shared" si="14"/>
        <v>0</v>
      </c>
      <c r="V61" s="287">
        <f t="shared" si="15"/>
      </c>
      <c r="W61" s="289" t="s">
        <v>1130</v>
      </c>
      <c r="Y61" s="324" t="str">
        <f>IF(A61="new.cod","NEWCOD",IF(AND((Z61=""),ISTEXT(A61)),A61,IF(Z61="","",INDEX('liste reference'!$A$8:$A$904,Z61))))</f>
        <v>POLLAP</v>
      </c>
      <c r="Z61" s="183">
        <f>IF(ISERROR(MATCH(A61,'liste reference'!$A$8:$A$904,0)),IF(ISERROR(MATCH(A61,'liste reference'!$B$8:$B$904,0)),"",(MATCH(A61,'liste reference'!$B$8:$B$904,0))),(MATCH(A61,'liste reference'!$A$8:$A$904,0)))</f>
        <v>796</v>
      </c>
      <c r="AA61" s="385"/>
      <c r="AB61" s="372"/>
      <c r="AC61" s="372"/>
      <c r="BB61" s="183">
        <f t="shared" si="16"/>
        <v>1</v>
      </c>
    </row>
    <row r="62" spans="1:54" ht="12.75">
      <c r="A62" s="322" t="s">
        <v>2720</v>
      </c>
      <c r="B62" s="241">
        <v>0.05</v>
      </c>
      <c r="C62" s="242">
        <v>0.1</v>
      </c>
      <c r="D62" s="221">
        <f>IF(ISERROR(VLOOKUP($A62,'liste reference'!$A$7:$D$904,2,0)),IF(ISERROR(VLOOKUP($A62,'liste reference'!$B$7:$D$904,1,0)),"",VLOOKUP($A62,'liste reference'!$B$7:$D$904,1,0)),VLOOKUP($A62,'liste reference'!$A$7:$D$904,2,0))</f>
      </c>
      <c r="E62" s="224">
        <f>IF(D62="",,VLOOKUP(D62,D$22:D61,1,0))</f>
        <v>0</v>
      </c>
      <c r="F62" s="39">
        <f t="shared" si="9"/>
        <v>0.0685</v>
      </c>
      <c r="G62" s="507" t="str">
        <f>IF(A62="","",IF(ISERROR(VLOOKUP($A62,'liste reference'!$A$7:$P$904,13,0)),IF(ISERROR(VLOOKUP($A62,'liste reference'!$B$7:$P$904,12,0)),"    -",VLOOKUP($A62,'liste reference'!$B$7:$P$904,12,0)),VLOOKUP($A62,'liste reference'!$A$7:$P$904,13,0)))</f>
        <v>    -</v>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t="str">
        <f>IF(A62="NEWCOD",IF(AB62="","Remplir le champs 'Nouveau taxa' svp.",$AB62),IF(ISTEXT($E62),"DEJA SAISI !",IF(A62="","",IF(ISERROR(VLOOKUP($A62,'liste reference'!$A$7:$D$904,2,0)),IF(ISERROR(VLOOKUP($A62,'liste reference'!$B$7:$D$904,1,0)),"code non répertorié ou synonyme",VLOOKUP($A62,'liste reference'!$B$7:$D$904,1,0)),VLOOKUP(A62,'liste reference'!$A$7:$D$904,2,0)))))</f>
        <v>Paspalum distichum</v>
      </c>
      <c r="L62" s="333"/>
      <c r="M62" s="333"/>
      <c r="N62" s="333"/>
      <c r="O62" s="367"/>
      <c r="P62" s="367" t="str">
        <f>IF($A62="NEWCOD",IF($AC62="","No",$AC62),IF(ISTEXT($E62),"DEJA SAISI !",IF($A62="","",IF(ISERROR(VLOOKUP($A62,'liste reference'!A:S,19,FALSE)),IF(ISERROR(VLOOKUP($A62,'liste reference'!B:S,19,FALSE)),"",VLOOKUP($A62,'liste reference'!B:S,19,FALSE)),VLOOKUP($A62,'liste reference'!A:S,19,FALSE)))))</f>
        <v>No</v>
      </c>
      <c r="Q62" s="222">
        <f t="shared" si="10"/>
      </c>
      <c r="R62" s="223">
        <f t="shared" si="11"/>
      </c>
      <c r="S62" s="223">
        <f t="shared" si="12"/>
        <v>0</v>
      </c>
      <c r="T62" s="223">
        <f t="shared" si="13"/>
        <v>0</v>
      </c>
      <c r="U62" s="225">
        <f t="shared" si="14"/>
        <v>0</v>
      </c>
      <c r="V62" s="287">
        <f t="shared" si="15"/>
      </c>
      <c r="W62" s="289" t="s">
        <v>1130</v>
      </c>
      <c r="Y62" s="324" t="str">
        <f>IF(A62="new.cod","NEWCOD",IF(AND((Z62=""),ISTEXT(A62)),A62,IF(Z62="","",INDEX('liste reference'!$A$8:$A$904,Z62))))</f>
        <v>NEWCOD</v>
      </c>
      <c r="Z62" s="183">
        <f>IF(ISERROR(MATCH(A62,'liste reference'!$A$8:$A$904,0)),IF(ISERROR(MATCH(A62,'liste reference'!$B$8:$B$904,0)),"",(MATCH(A62,'liste reference'!$B$8:$B$904,0))),(MATCH(A62,'liste reference'!$A$8:$A$904,0)))</f>
      </c>
      <c r="AA62" s="385"/>
      <c r="AB62" s="372" t="s">
        <v>2726</v>
      </c>
      <c r="AC62" s="372"/>
      <c r="BB62" s="183">
        <f t="shared" si="16"/>
        <v>1</v>
      </c>
    </row>
    <row r="63" spans="1:54" ht="12.75">
      <c r="A63" s="322" t="s">
        <v>2720</v>
      </c>
      <c r="B63" s="241">
        <v>0.02</v>
      </c>
      <c r="C63" s="242">
        <v>0.03</v>
      </c>
      <c r="D63" s="221">
        <f>IF(ISERROR(VLOOKUP($A63,'liste reference'!$A$7:$D$904,2,0)),IF(ISERROR(VLOOKUP($A63,'liste reference'!$B$7:$D$904,1,0)),"",VLOOKUP($A63,'liste reference'!$B$7:$D$904,1,0)),VLOOKUP($A63,'liste reference'!$A$7:$D$904,2,0))</f>
      </c>
      <c r="E63" s="224">
        <f>IF(D63="",,VLOOKUP(D63,D$22:D62,1,0))</f>
        <v>0</v>
      </c>
      <c r="F63" s="39">
        <f t="shared" si="9"/>
        <v>0.023700000000000002</v>
      </c>
      <c r="G63" s="505" t="str">
        <f>IF(A63="","",IF(ISERROR(VLOOKUP($A63,'liste reference'!$A$7:$P$904,13,0)),IF(ISERROR(VLOOKUP($A63,'liste reference'!$B$7:$P$904,12,0)),"    -",VLOOKUP($A63,'liste reference'!$B$7:$P$904,12,0)),VLOOKUP($A63,'liste reference'!$A$7:$P$904,13,0)))</f>
        <v>    -</v>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t="str">
        <f>IF(A63="NEWCOD",IF(AB63="","Remplir le champs 'Nouveau taxa' svp.",$AB63),IF(ISTEXT($E63),"DEJA SAISI !",IF(A63="","",IF(ISERROR(VLOOKUP($A63,'liste reference'!$A$7:$D$904,2,0)),IF(ISERROR(VLOOKUP($A63,'liste reference'!$B$7:$D$904,1,0)),"code non répertorié ou synonyme",VLOOKUP($A63,'liste reference'!$B$7:$D$904,1,0)),VLOOKUP(A63,'liste reference'!$A$7:$D$904,2,0)))))</f>
        <v>Rorippa sylvestris</v>
      </c>
      <c r="L63" s="333"/>
      <c r="M63" s="333"/>
      <c r="N63" s="333"/>
      <c r="O63" s="367"/>
      <c r="P63" s="367" t="str">
        <f>IF($A63="NEWCOD",IF($AC63="","No",$AC63),IF(ISTEXT($E63),"DEJA SAISI !",IF($A63="","",IF(ISERROR(VLOOKUP($A63,'liste reference'!A:S,19,FALSE)),IF(ISERROR(VLOOKUP($A63,'liste reference'!B:S,19,FALSE)),"",VLOOKUP($A63,'liste reference'!B:S,19,FALSE)),VLOOKUP($A63,'liste reference'!A:S,19,FALSE)))))</f>
        <v>No</v>
      </c>
      <c r="Q63" s="222">
        <f t="shared" si="10"/>
      </c>
      <c r="R63" s="223">
        <f t="shared" si="11"/>
      </c>
      <c r="S63" s="223">
        <f t="shared" si="12"/>
        <v>0</v>
      </c>
      <c r="T63" s="223">
        <f t="shared" si="13"/>
        <v>0</v>
      </c>
      <c r="U63" s="225">
        <f t="shared" si="14"/>
        <v>0</v>
      </c>
      <c r="V63" s="287">
        <f t="shared" si="15"/>
      </c>
      <c r="W63" s="289" t="s">
        <v>1130</v>
      </c>
      <c r="Y63" s="324" t="str">
        <f>IF(A63="new.cod","NEWCOD",IF(AND((Z63=""),ISTEXT(A63)),A63,IF(Z63="","",INDEX('liste reference'!$A$8:$A$904,Z63))))</f>
        <v>NEWCOD</v>
      </c>
      <c r="Z63" s="183">
        <f>IF(ISERROR(MATCH(A63,'liste reference'!$A$8:$A$904,0)),IF(ISERROR(MATCH(A63,'liste reference'!$B$8:$B$904,0)),"",(MATCH(A63,'liste reference'!$B$8:$B$904,0))),(MATCH(A63,'liste reference'!$A$8:$A$904,0)))</f>
      </c>
      <c r="AA63" s="385"/>
      <c r="AB63" s="372" t="s">
        <v>2727</v>
      </c>
      <c r="AC63" s="372"/>
      <c r="BB63" s="183">
        <f t="shared" si="16"/>
        <v>1</v>
      </c>
    </row>
    <row r="64" spans="1:54" ht="12.75" customHeight="1">
      <c r="A64" s="322" t="s">
        <v>2720</v>
      </c>
      <c r="B64" s="241">
        <v>0.2</v>
      </c>
      <c r="C64" s="242"/>
      <c r="D64" s="221">
        <f>IF(ISERROR(VLOOKUP($A64,'liste reference'!$A$7:$D$904,2,0)),IF(ISERROR(VLOOKUP($A64,'liste reference'!$B$7:$D$904,1,0)),"",VLOOKUP($A64,'liste reference'!$B$7:$D$904,1,0)),VLOOKUP($A64,'liste reference'!$A$7:$D$904,2,0))</f>
      </c>
      <c r="E64" s="224">
        <f>IF(D64="",,VLOOKUP(D64,D$22:D56,1,0))</f>
        <v>0</v>
      </c>
      <c r="F64" s="39">
        <f t="shared" si="9"/>
        <v>0.126</v>
      </c>
      <c r="G64" s="37" t="str">
        <f>IF(A64="","",IF(ISERROR(VLOOKUP($A64,'liste reference'!$A$7:$P$904,13,0)),IF(ISERROR(VLOOKUP($A64,'liste reference'!$B$7:$P$904,12,0)),"    -",VLOOKUP($A64,'liste reference'!$B$7:$P$904,12,0)),VLOOKUP($A64,'liste reference'!$A$7:$P$904,13,0)))</f>
        <v>    -</v>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t="str">
        <f>IF(A64="NEWCOD",IF(AB64="","Remplir le champs 'Nouveau taxa' svp.",$AB64),IF(ISTEXT($E64),"DEJA SAISI !",IF(A64="","",IF(ISERROR(VLOOKUP($A64,'liste reference'!$A$7:$D$904,2,0)),IF(ISERROR(VLOOKUP($A64,'liste reference'!$B$7:$D$904,1,0)),"code non répertorié ou synonyme",VLOOKUP($A64,'liste reference'!$B$7:$D$904,1,0)),VLOOKUP(A64,'liste reference'!$A$7:$D$904,2,0)))))</f>
        <v>Fragilaria sp.</v>
      </c>
      <c r="L64" s="333"/>
      <c r="M64" s="333"/>
      <c r="N64" s="333"/>
      <c r="O64" s="367"/>
      <c r="P64" s="367" t="str">
        <f>IF($A64="NEWCOD",IF($AC64="","No",$AC64),IF(ISTEXT($E64),"DEJA SAISI !",IF($A64="","",IF(ISERROR(VLOOKUP($A64,'liste reference'!A:S,19,FALSE)),IF(ISERROR(VLOOKUP($A64,'liste reference'!B:S,19,FALSE)),"",VLOOKUP($A64,'liste reference'!B:S,19,FALSE)),VLOOKUP($A64,'liste reference'!A:S,19,FALSE)))))</f>
        <v>No</v>
      </c>
      <c r="Q64" s="222">
        <f t="shared" si="10"/>
      </c>
      <c r="R64" s="223">
        <f t="shared" si="11"/>
      </c>
      <c r="S64" s="223">
        <f t="shared" si="12"/>
        <v>0</v>
      </c>
      <c r="T64" s="223">
        <f t="shared" si="13"/>
        <v>0</v>
      </c>
      <c r="U64" s="225">
        <f t="shared" si="14"/>
        <v>0</v>
      </c>
      <c r="V64" s="287">
        <f t="shared" si="15"/>
      </c>
      <c r="W64" s="289" t="s">
        <v>1130</v>
      </c>
      <c r="Y64" s="324" t="str">
        <f>IF(A64="new.cod","NEWCOD",IF(AND((Z64=""),ISTEXT(A64)),A64,IF(Z64="","",INDEX('liste reference'!$A$8:$A$904,Z64))))</f>
        <v>NEWCOD</v>
      </c>
      <c r="Z64" s="183">
        <f>IF(ISERROR(MATCH(A64,'liste reference'!$A$8:$A$904,0)),IF(ISERROR(MATCH(A64,'liste reference'!$B$8:$B$904,0)),"",(MATCH(A64,'liste reference'!$B$8:$B$904,0))),(MATCH(A64,'liste reference'!$A$8:$A$904,0)))</f>
      </c>
      <c r="AA64" s="385"/>
      <c r="AB64" s="372" t="s">
        <v>2728</v>
      </c>
      <c r="AC64" s="372"/>
      <c r="BB64" s="183">
        <f t="shared" si="16"/>
        <v>1</v>
      </c>
    </row>
    <row r="65" spans="1:54" ht="12.75">
      <c r="A65" s="322" t="s">
        <v>2720</v>
      </c>
      <c r="B65" s="241"/>
      <c r="C65" s="242">
        <v>0.005</v>
      </c>
      <c r="D65" s="221">
        <f>IF(ISERROR(VLOOKUP($A65,'liste reference'!$A$7:$D$904,2,0)),IF(ISERROR(VLOOKUP($A65,'liste reference'!$B$7:$D$904,1,0)),"",VLOOKUP($A65,'liste reference'!$B$7:$D$904,1,0)),VLOOKUP($A65,'liste reference'!$A$7:$D$904,2,0))</f>
      </c>
      <c r="E65" s="224">
        <f>IF(D65="",,VLOOKUP(D65,D$22:D64,1,0))</f>
        <v>0</v>
      </c>
      <c r="F65" s="39">
        <f t="shared" si="9"/>
        <v>0.00185</v>
      </c>
      <c r="G65" s="37" t="str">
        <f>IF(A65="","",IF(ISERROR(VLOOKUP($A65,'liste reference'!$A$7:$P$904,13,0)),IF(ISERROR(VLOOKUP($A65,'liste reference'!$B$7:$P$904,12,0)),"    -",VLOOKUP($A65,'liste reference'!$B$7:$P$904,12,0)),VLOOKUP($A65,'liste reference'!$A$7:$P$904,13,0)))</f>
        <v>    -</v>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t="str">
        <f>IF(A65="NEWCOD",IF(AB65="","Remplir le champs 'Nouveau taxa' svp.",$AB65),IF(ISTEXT($E65),"DEJA SAISI !",IF(A65="","",IF(ISERROR(VLOOKUP($A65,'liste reference'!$A$7:$D$904,2,0)),IF(ISERROR(VLOOKUP($A65,'liste reference'!$B$7:$D$904,1,0)),"code non répertorié ou synonyme",VLOOKUP($A65,'liste reference'!$B$7:$D$904,1,0)),VLOOKUP(A65,'liste reference'!$A$7:$D$904,2,0)))))</f>
        <v>Xanthium sp.</v>
      </c>
      <c r="L65" s="333"/>
      <c r="M65" s="333"/>
      <c r="N65" s="333"/>
      <c r="O65" s="367"/>
      <c r="P65" s="367" t="str">
        <f>IF($A65="NEWCOD",IF($AC65="","No",$AC65),IF(ISTEXT($E65),"DEJA SAISI !",IF($A65="","",IF(ISERROR(VLOOKUP($A65,'liste reference'!A:S,19,FALSE)),IF(ISERROR(VLOOKUP($A65,'liste reference'!B:S,19,FALSE)),"",VLOOKUP($A65,'liste reference'!B:S,19,FALSE)),VLOOKUP($A65,'liste reference'!A:S,19,FALSE)))))</f>
        <v>No</v>
      </c>
      <c r="Q65" s="222">
        <f t="shared" si="10"/>
      </c>
      <c r="R65" s="223">
        <f t="shared" si="11"/>
      </c>
      <c r="S65" s="223">
        <f t="shared" si="12"/>
        <v>0</v>
      </c>
      <c r="T65" s="223">
        <f t="shared" si="13"/>
        <v>0</v>
      </c>
      <c r="U65" s="225">
        <f t="shared" si="14"/>
        <v>0</v>
      </c>
      <c r="V65" s="287">
        <f t="shared" si="15"/>
      </c>
      <c r="W65" s="289" t="s">
        <v>1130</v>
      </c>
      <c r="Y65" s="324" t="str">
        <f>IF(A65="new.cod","NEWCOD",IF(AND((Z65=""),ISTEXT(A65)),A65,IF(Z65="","",INDEX('liste reference'!$A$8:$A$904,Z65))))</f>
        <v>NEWCOD</v>
      </c>
      <c r="Z65" s="183">
        <f>IF(ISERROR(MATCH(A65,'liste reference'!$A$8:$A$904,0)),IF(ISERROR(MATCH(A65,'liste reference'!$B$8:$B$904,0)),"",(MATCH(A65,'liste reference'!$B$8:$B$904,0))),(MATCH(A65,'liste reference'!$A$8:$A$904,0)))</f>
      </c>
      <c r="AA65" s="385"/>
      <c r="AB65" s="372" t="s">
        <v>2729</v>
      </c>
      <c r="AC65" s="372"/>
      <c r="BB65" s="183">
        <f t="shared" si="16"/>
        <v>1</v>
      </c>
    </row>
    <row r="66" spans="1:54" ht="12.75">
      <c r="A66" s="322" t="s">
        <v>2720</v>
      </c>
      <c r="B66" s="241"/>
      <c r="C66" s="242">
        <v>0.005</v>
      </c>
      <c r="D66" s="221">
        <f>IF(ISERROR(VLOOKUP($A66,'liste reference'!$A$7:$D$904,2,0)),IF(ISERROR(VLOOKUP($A66,'liste reference'!$B$7:$D$904,1,0)),"",VLOOKUP($A66,'liste reference'!$B$7:$D$904,1,0)),VLOOKUP($A66,'liste reference'!$A$7:$D$904,2,0))</f>
      </c>
      <c r="E66" s="224">
        <f>IF(D66="",,VLOOKUP(D66,D$22:D65,1,0))</f>
        <v>0</v>
      </c>
      <c r="F66" s="39">
        <f t="shared" si="9"/>
        <v>0.00185</v>
      </c>
      <c r="G66" s="37" t="str">
        <f>IF(A66="","",IF(ISERROR(VLOOKUP($A66,'liste reference'!$A$7:$P$904,13,0)),IF(ISERROR(VLOOKUP($A66,'liste reference'!$B$7:$P$904,12,0)),"    -",VLOOKUP($A66,'liste reference'!$B$7:$P$904,12,0)),VLOOKUP($A66,'liste reference'!$A$7:$P$904,13,0)))</f>
        <v>    -</v>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t="str">
        <f>IF(A66="NEWCOD",IF(AB66="","Remplir le champs 'Nouveau taxa' svp.",$AB66),IF(ISTEXT($E66),"DEJA SAISI !",IF(A66="","",IF(ISERROR(VLOOKUP($A66,'liste reference'!$A$7:$D$904,2,0)),IF(ISERROR(VLOOKUP($A66,'liste reference'!$B$7:$D$904,1,0)),"code non répertorié ou synonyme",VLOOKUP($A66,'liste reference'!$B$7:$D$904,1,0)),VLOOKUP(A66,'liste reference'!$A$7:$D$904,2,0)))))</f>
        <v>Komvophoron sp.</v>
      </c>
      <c r="L66" s="333"/>
      <c r="M66" s="333"/>
      <c r="N66" s="333"/>
      <c r="O66" s="367"/>
      <c r="P66" s="367" t="str">
        <f>IF($A66="NEWCOD",IF($AC66="","No",$AC66),IF(ISTEXT($E66),"DEJA SAISI !",IF($A66="","",IF(ISERROR(VLOOKUP($A66,'liste reference'!A:S,19,FALSE)),IF(ISERROR(VLOOKUP($A66,'liste reference'!B:S,19,FALSE)),"",VLOOKUP($A66,'liste reference'!B:S,19,FALSE)),VLOOKUP($A66,'liste reference'!A:S,19,FALSE)))))</f>
        <v>No</v>
      </c>
      <c r="Q66" s="222">
        <f t="shared" si="10"/>
      </c>
      <c r="R66" s="223">
        <f t="shared" si="11"/>
      </c>
      <c r="S66" s="223">
        <f t="shared" si="12"/>
        <v>0</v>
      </c>
      <c r="T66" s="223">
        <f t="shared" si="13"/>
        <v>0</v>
      </c>
      <c r="U66" s="225">
        <f t="shared" si="14"/>
        <v>0</v>
      </c>
      <c r="V66" s="287">
        <f t="shared" si="15"/>
      </c>
      <c r="W66" s="289" t="s">
        <v>1130</v>
      </c>
      <c r="Y66" s="324" t="str">
        <f>IF(A66="new.cod","NEWCOD",IF(AND((Z66=""),ISTEXT(A66)),A66,IF(Z66="","",INDEX('liste reference'!$A$8:$A$904,Z66))))</f>
        <v>NEWCOD</v>
      </c>
      <c r="Z66" s="183">
        <f>IF(ISERROR(MATCH(A66,'liste reference'!$A$8:$A$904,0)),IF(ISERROR(MATCH(A66,'liste reference'!$B$8:$B$904,0)),"",(MATCH(A66,'liste reference'!$B$8:$B$904,0))),(MATCH(A66,'liste reference'!$A$8:$A$904,0)))</f>
      </c>
      <c r="AA66" s="385"/>
      <c r="AB66" s="372" t="s">
        <v>2730</v>
      </c>
      <c r="AC66" s="372"/>
      <c r="BB66" s="183">
        <f t="shared" si="16"/>
        <v>1</v>
      </c>
    </row>
    <row r="67" spans="1:54" ht="12.75">
      <c r="A67" s="322" t="s">
        <v>1130</v>
      </c>
      <c r="B67" s="241"/>
      <c r="C67" s="242"/>
      <c r="D67" s="221">
        <f>IF(ISERROR(VLOOKUP($A67,'liste reference'!$A$7:$D$904,2,0)),IF(ISERROR(VLOOKUP($A67,'liste reference'!$B$7:$D$904,1,0)),"",VLOOKUP($A67,'liste reference'!$B$7:$D$904,1,0)),VLOOKUP($A67,'liste reference'!$A$7:$D$904,2,0))</f>
      </c>
      <c r="E67" s="224">
        <f>IF(D67="",,VLOOKUP(D67,D$22:D66,1,0))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Gard</v>
      </c>
      <c r="B84" s="231" t="str">
        <f>C3</f>
        <v>Remoulins</v>
      </c>
      <c r="C84" s="232">
        <f>A4</f>
        <v>41493</v>
      </c>
      <c r="D84" s="233">
        <f>IF(ISERROR(SUM($T$23:$T$82)/SUM($U$23:$U$82)),"",SUM($T$23:$T$82)/SUM($U$23:$U$82))</f>
        <v>8.98611111111111</v>
      </c>
      <c r="E84" s="234">
        <f>N13</f>
        <v>44</v>
      </c>
      <c r="F84" s="231">
        <f>N14</f>
        <v>32</v>
      </c>
      <c r="G84" s="231">
        <f>N15</f>
        <v>13</v>
      </c>
      <c r="H84" s="231">
        <f>N16</f>
        <v>17</v>
      </c>
      <c r="I84" s="231">
        <f>N17</f>
        <v>2</v>
      </c>
      <c r="J84" s="235">
        <f>N8</f>
        <v>8.78125</v>
      </c>
      <c r="K84" s="233">
        <f>N9</f>
        <v>3.038650759383184</v>
      </c>
      <c r="L84" s="234">
        <f>N10</f>
        <v>2</v>
      </c>
      <c r="M84" s="234">
        <f>N11</f>
        <v>13</v>
      </c>
      <c r="N84" s="233">
        <f>O8</f>
        <v>1.65625</v>
      </c>
      <c r="O84" s="233">
        <f>O9</f>
        <v>0.592102978796763</v>
      </c>
      <c r="P84" s="234">
        <f>O10</f>
        <v>1</v>
      </c>
      <c r="Q84" s="234">
        <f>O11</f>
        <v>3</v>
      </c>
      <c r="R84" s="234">
        <f>F21</f>
        <v>71.26429999999999</v>
      </c>
      <c r="S84" s="234">
        <f>K11</f>
        <v>0</v>
      </c>
      <c r="T84" s="234">
        <f>K12</f>
        <v>12</v>
      </c>
      <c r="U84" s="234">
        <f>K13</f>
        <v>0</v>
      </c>
      <c r="V84" s="236">
        <f>K14</f>
        <v>1</v>
      </c>
      <c r="W84" s="237">
        <f>K15</f>
        <v>26</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40</v>
      </c>
      <c r="T87" s="183"/>
      <c r="U87" s="183"/>
      <c r="V87" s="183"/>
    </row>
    <row r="88" spans="16:22" ht="12.75" hidden="1">
      <c r="P88" s="183"/>
      <c r="Q88" s="183" t="s">
        <v>1138</v>
      </c>
      <c r="R88" s="183"/>
      <c r="S88" s="287">
        <f>VLOOKUP((S87),($S$23:$U$82),2,0)</f>
        <v>40</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8.926470588235293</v>
      </c>
      <c r="T90" s="183"/>
    </row>
    <row r="91" spans="17:21" ht="12.75">
      <c r="Q91" s="223" t="s">
        <v>1613</v>
      </c>
      <c r="R91" s="223"/>
      <c r="S91" s="223" t="str">
        <f>INDEX('liste reference'!$A$8:$A$904,$T$91)</f>
        <v>SPISPX</v>
      </c>
      <c r="T91" s="183">
        <f>IF(ISERROR(MATCH($S$93,'liste reference'!$A$8:$A$904,0)),MATCH($S$93,'liste reference'!$B$8:$B$904,0),(MATCH($S$93,'liste reference'!$A$8:$A$904,0)))</f>
        <v>69</v>
      </c>
      <c r="U91" s="229"/>
    </row>
    <row r="92" spans="17:20" ht="12.75">
      <c r="Q92" s="183" t="s">
        <v>1371</v>
      </c>
      <c r="R92" s="183"/>
      <c r="S92" s="183">
        <f>MATCH(S87,$S$23:$S$82,0)</f>
        <v>10</v>
      </c>
      <c r="T92" s="183"/>
    </row>
    <row r="93" spans="17:20" ht="12.75">
      <c r="Q93" s="223" t="s">
        <v>1370</v>
      </c>
      <c r="R93" s="183"/>
      <c r="S93" s="223" t="str">
        <f>INDEX($A$23:$A$82,$S$92)</f>
        <v>SPISPX</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