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<sst xmlns="http://schemas.openxmlformats.org/spreadsheetml/2006/main" count="210" uniqueCount="93">
  <si>
    <t>Relevés floristiques aquatiques - IBMR</t>
  </si>
  <si>
    <t>Formulaire modèle GIS Macrophytes v_2.6 - février 2012</t>
  </si>
  <si>
    <t>SAGE</t>
  </si>
  <si>
    <t>ISEBE RENAHY</t>
  </si>
  <si>
    <t>conforme AFNOR T90-395 oct. 2003</t>
  </si>
  <si>
    <t>Arly</t>
  </si>
  <si>
    <t>Arly à Césarches</t>
  </si>
  <si>
    <t>06137000</t>
  </si>
  <si>
    <t>AERMC</t>
  </si>
  <si>
    <t>Résultats</t>
  </si>
  <si>
    <t>Robustesse:</t>
  </si>
  <si>
    <t>Unité de relevé</t>
  </si>
  <si>
    <t>UR1</t>
  </si>
  <si>
    <t>UR2</t>
  </si>
  <si>
    <t>station</t>
  </si>
  <si>
    <t>IBMR:</t>
  </si>
  <si>
    <t>Faciès dominant</t>
  </si>
  <si>
    <t>radier</t>
  </si>
  <si>
    <t>pl. lent</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</si>
  <si>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</si>
  <si>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</si>
  <si>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</si>
  <si>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</si>
  <si>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</si>
  <si>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</si>
  <si>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</si>
  <si>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</si>
  <si>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</si>
  <si>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</si>
  <si>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</si>
  <si>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</si>
  <si>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</si>
  <si>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</si>
  <si>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</si>
  <si>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</si>
  <si>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</si>
  <si>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</si>
  <si>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</si>
  <si>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</si>
  <si>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</si>
  <si>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</si>
  <si>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</si>
  <si>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</si>
  <si>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</si>
  <si>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</si>
  <si>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</si>
  <si>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</si>
  <si>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</si>
  <si>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</si>
  <si>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</si>
  <si>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</si>
  <si>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</si>
  <si>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</si>
  <si>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</si>
  <si>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</si>
  <si>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</si>
  <si>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</si>
  <si>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</si>
  <si>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</si>
  <si>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</si>
  <si>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</si>
  <si>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</si>
  <si>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</si>
  <si>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</si>
  <si>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</si>
  <si>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</si>
  <si>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</si>
  <si>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</si>
  <si>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</si>
  <si>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</si>
  <si>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</si>
  <si>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</si>
  <si>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</si>
  <si>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</si>
  <si>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</si>
  <si>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</si>
  <si>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</si>
  <si>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MELSPX</t>
  </si>
  <si>
    <t>OEDSPX</t>
  </si>
  <si>
    <t>SPISPX</t>
  </si>
  <si>
    <t>VAUSPX</t>
  </si>
  <si>
    <t>CINRIP</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</si>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</sst>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ARCES_24-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N25" sqref="N25"/>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41145</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8.625</v>
      </c>
      <c r="M5" s="53"/>
      <c r="N5" s="54"/>
      <c r="O5" s="55">
        <v>8.307692307692308</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8.714285714285714</v>
      </c>
      <c r="O8" s="84">
        <f>AVERAGE(J23:J82)</f>
        <v>1.2857142857142858</v>
      </c>
      <c r="P8" s="85"/>
      <c r="Q8" s="8"/>
      <c r="R8" s="8"/>
      <c r="S8" s="8"/>
      <c r="T8" s="8"/>
      <c r="U8" s="8"/>
      <c r="V8" s="8"/>
      <c r="W8" s="22"/>
      <c r="X8" s="23"/>
    </row>
    <row r="9" spans="1:24" ht="13.5" thickBot="1">
      <c r="A9" s="43" t="s">
        <v>28</v>
      </c>
      <c r="B9" s="86">
        <v>15.05</v>
      </c>
      <c r="C9" s="87">
        <v>83.08</v>
      </c>
      <c r="D9" s="88"/>
      <c r="E9" s="88"/>
      <c r="F9" s="89">
        <f aca="true" t="shared" si="0" ref="F9:F15">($B9*$B$7+$C9*$C$7)/100</f>
        <v>21.853</v>
      </c>
      <c r="G9" s="90"/>
      <c r="H9" s="91"/>
      <c r="I9" s="92"/>
      <c r="J9" s="93"/>
      <c r="K9" s="73"/>
      <c r="L9" s="94"/>
      <c r="M9" s="83" t="s">
        <v>29</v>
      </c>
      <c r="N9" s="84">
        <f>STDEV(I23:I82)</f>
        <v>3.4016802570830453</v>
      </c>
      <c r="O9" s="84">
        <f>STDEV(J23:J82)</f>
        <v>0.48795003647426666</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13</v>
      </c>
      <c r="O11" s="106">
        <f>MAX(J23:J82)</f>
        <v>2</v>
      </c>
      <c r="P11" s="107"/>
      <c r="Q11" s="8"/>
      <c r="R11" s="8"/>
      <c r="S11" s="8"/>
      <c r="T11" s="8"/>
      <c r="U11" s="8"/>
      <c r="V11" s="8"/>
    </row>
    <row r="12" spans="1:22" ht="12.75">
      <c r="A12" s="118" t="s">
        <v>36</v>
      </c>
      <c r="B12" s="119">
        <v>15.05</v>
      </c>
      <c r="C12" s="120">
        <v>83.05</v>
      </c>
      <c r="D12" s="111"/>
      <c r="E12" s="111"/>
      <c r="F12" s="112">
        <f t="shared" si="0"/>
        <v>21.85</v>
      </c>
      <c r="G12" s="121"/>
      <c r="H12" s="68"/>
      <c r="I12" s="122" t="s">
        <v>37</v>
      </c>
      <c r="J12" s="123"/>
      <c r="K12" s="116">
        <f>COUNTIF($G$23:$G$82,"=ALG")</f>
        <v>5</v>
      </c>
      <c r="L12" s="124"/>
      <c r="M12" s="125"/>
      <c r="N12" s="126" t="s">
        <v>31</v>
      </c>
      <c r="O12" s="127"/>
      <c r="P12" s="128"/>
      <c r="Q12" s="8"/>
      <c r="R12" s="8"/>
      <c r="S12" s="8"/>
      <c r="T12" s="8"/>
      <c r="U12" s="8"/>
      <c r="V12" s="8"/>
    </row>
    <row r="13" spans="1:22" ht="12.75">
      <c r="A13" s="118" t="s">
        <v>38</v>
      </c>
      <c r="B13" s="119"/>
      <c r="C13" s="120">
        <v>0.03</v>
      </c>
      <c r="D13" s="111"/>
      <c r="E13" s="111"/>
      <c r="F13" s="112">
        <f t="shared" si="0"/>
        <v>0.003</v>
      </c>
      <c r="G13" s="121"/>
      <c r="H13" s="68"/>
      <c r="I13" s="129" t="s">
        <v>39</v>
      </c>
      <c r="J13" s="123"/>
      <c r="K13" s="116">
        <f>COUNTIF($G$23:$G$82,"=BRm")+COUNTIF($G$23:$G$82,"=BRh")</f>
        <v>2</v>
      </c>
      <c r="L13" s="117"/>
      <c r="M13" s="130" t="s">
        <v>40</v>
      </c>
      <c r="N13" s="131">
        <f>COUNTIF(F23:F82,"&gt;0")</f>
        <v>7</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7</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5</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2</v>
      </c>
      <c r="O16" s="142"/>
      <c r="P16" s="133"/>
      <c r="Q16" s="8"/>
      <c r="R16" s="8"/>
      <c r="S16" s="8"/>
      <c r="T16" s="8"/>
      <c r="U16" s="8"/>
      <c r="V16" s="8"/>
    </row>
    <row r="17" spans="1:22" ht="12.75">
      <c r="A17" s="118" t="s">
        <v>49</v>
      </c>
      <c r="B17" s="119">
        <v>15.05</v>
      </c>
      <c r="C17" s="120">
        <v>83.08</v>
      </c>
      <c r="D17" s="111"/>
      <c r="E17" s="111"/>
      <c r="F17" s="147"/>
      <c r="G17" s="112">
        <f>($B17*$B$7+$C17*$C$7)/100</f>
        <v>21.853</v>
      </c>
      <c r="H17" s="68"/>
      <c r="I17" s="129"/>
      <c r="J17" s="123"/>
      <c r="K17" s="146"/>
      <c r="L17" s="117"/>
      <c r="M17" s="140" t="s">
        <v>50</v>
      </c>
      <c r="N17" s="141">
        <f>COUNTIF(J23:J82,"=3")</f>
        <v>0</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21.853</v>
      </c>
      <c r="G19" s="160">
        <f>SUM(G16:G18)</f>
        <v>21.853</v>
      </c>
      <c r="H19" s="161"/>
      <c r="I19" s="162"/>
      <c r="J19" s="163"/>
      <c r="K19" s="164"/>
      <c r="L19" s="165"/>
      <c r="M19" s="166"/>
      <c r="N19" s="60"/>
      <c r="O19" s="167"/>
      <c r="P19" s="153"/>
      <c r="Q19" s="8"/>
      <c r="R19" s="8"/>
      <c r="S19" s="8"/>
      <c r="T19" s="8"/>
      <c r="U19" s="8"/>
      <c r="V19" s="8" t="s">
        <v>53</v>
      </c>
      <c r="W19" s="154" t="s">
        <v>53</v>
      </c>
    </row>
    <row r="20" spans="1:23" ht="12.75">
      <c r="A20" s="168" t="s">
        <v>92</v>
      </c>
      <c r="B20" s="169">
        <f>SUM(B23:B82)</f>
        <v>15.055</v>
      </c>
      <c r="C20" s="170">
        <f>SUM(C23:C82)</f>
        <v>83.08000000000001</v>
      </c>
      <c r="D20" s="171"/>
      <c r="E20" s="172" t="s">
        <v>52</v>
      </c>
      <c r="F20" s="173">
        <f>($B20*$B$7+$C20*$C$7)/100</f>
        <v>21.8575</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13.5495</v>
      </c>
      <c r="C21" s="183">
        <f>C20*C7/100</f>
        <v>8.308000000000002</v>
      </c>
      <c r="D21" s="111">
        <f>IF(F21=0,"",IF((ABS(F21-F19))&gt;(0.2*F21),CONCATENATE(" rec. par taxa (",F21," %) supérieur à 20 % !"),""))</f>
      </c>
      <c r="E21" s="184">
        <f>IF(F21=0,"",IF((ABS(F21-F19))&gt;(0.2*F21),CONCATENATE("ATTENTION : écart entre rec. par grp (",F19," %) ","et",""),""))</f>
      </c>
      <c r="F21" s="185">
        <f>B21+C21</f>
        <v>21.8575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15</v>
      </c>
      <c r="C23" s="211">
        <v>0.1</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13.51</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13.51</v>
      </c>
      <c r="R23" s="222">
        <f aca="true" t="shared" si="4" ref="R23:R54">IF(OR(ISTEXT(H23),Q23=0),"",IF(Q23&lt;0.1,1,IF(Q23&lt;1,2,IF(Q23&lt;10,3,IF(Q23&lt;50,4,IF(Q23&gt;=50,5,""))))))</f>
        <v>4</v>
      </c>
      <c r="S23" s="222">
        <f aca="true" t="shared" si="5" ref="S23:S54">IF(ISERROR(R23*I23),0,R23*I23)</f>
        <v>24</v>
      </c>
      <c r="T23" s="222">
        <f aca="true" t="shared" si="6" ref="T23:T54">IF(ISERROR(R23*I23*J23),0,R23*I23*J23)</f>
        <v>24</v>
      </c>
      <c r="U23" s="222">
        <f aca="true" t="shared" si="7" ref="U23:U54">IF(ISERROR(R23*J23),0,R23*J23)</f>
        <v>4</v>
      </c>
      <c r="V23" s="223">
        <v>4</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v>
      </c>
      <c r="C24" s="230">
        <v>56</v>
      </c>
      <c r="D24" s="231" t="str">
        <f>IF(ISERROR(VLOOKUP($A24,'[1]liste reference'!$A$7:$D$892,2,0)),IF(ISERROR(VLOOKUP($A24,'[1]liste reference'!$B$7:$D$892,1,0)),"",VLOOKUP($A24,'[1]liste reference'!$B$7:$D$892,1,0)),VLOOKUP($A24,'[1]liste reference'!$A$7:$D$892,2,0))</f>
        <v>Melosira sp.</v>
      </c>
      <c r="E24" s="231" t="e">
        <f>IF(D24="",,VLOOKUP(D24,D$22:D23,1,0))</f>
        <v>#N/A</v>
      </c>
      <c r="F24" s="232">
        <f t="shared" si="1"/>
        <v>5.6</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10</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Melosira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8714</v>
      </c>
      <c r="Q24" s="221">
        <f t="shared" si="3"/>
        <v>5.6</v>
      </c>
      <c r="R24" s="222">
        <f t="shared" si="4"/>
        <v>3</v>
      </c>
      <c r="S24" s="222">
        <f t="shared" si="5"/>
        <v>30</v>
      </c>
      <c r="T24" s="222">
        <f t="shared" si="6"/>
        <v>30</v>
      </c>
      <c r="U24" s="236">
        <f t="shared" si="7"/>
        <v>3</v>
      </c>
      <c r="V24" s="223">
        <v>3</v>
      </c>
      <c r="W24" s="237" t="s">
        <v>53</v>
      </c>
      <c r="Y24" s="225" t="str">
        <f>IF(A24="new.cod","NEWCOD",IF(AND((Z24=""),ISTEXT(A24)),A24,IF(Z24="","",INDEX('[1]liste reference'!$A$7:$A$892,Z24))))</f>
        <v>MELSPX</v>
      </c>
      <c r="Z24" s="8">
        <f>IF(ISERROR(MATCH(A24,'[1]liste reference'!$A$7:$A$892,0)),IF(ISERROR(MATCH(A24,'[1]liste reference'!$B$7:$B$892,0)),"",(MATCH(A24,'[1]liste reference'!$B$7:$B$892,0))),(MATCH(A24,'[1]liste reference'!$A$7:$A$892,0)))</f>
        <v>457</v>
      </c>
      <c r="AA24" s="226"/>
      <c r="AB24" s="227"/>
      <c r="AC24" s="227"/>
      <c r="BC24" s="8">
        <f t="shared" si="8"/>
        <v>1</v>
      </c>
    </row>
    <row r="25" spans="1:55" ht="12.75">
      <c r="A25" s="228" t="s">
        <v>78</v>
      </c>
      <c r="B25" s="229">
        <v>0.01</v>
      </c>
      <c r="C25" s="230">
        <v>0.45</v>
      </c>
      <c r="D25" s="231" t="str">
        <f>IF(ISERROR(VLOOKUP($A25,'[1]liste reference'!$A$7:$D$892,2,0)),IF(ISERROR(VLOOKUP($A25,'[1]liste reference'!$B$7:$D$892,1,0)),"",VLOOKUP($A25,'[1]liste reference'!$B$7:$D$892,1,0)),VLOOKUP($A25,'[1]liste reference'!$A$7:$D$892,2,0))</f>
        <v>Oedogonium sp.</v>
      </c>
      <c r="E25" s="231" t="e">
        <f>IF(D25="",,VLOOKUP(D25,D$22:D24,1,0))</f>
        <v>#N/A</v>
      </c>
      <c r="F25" s="232">
        <f t="shared" si="1"/>
        <v>0.054000000000000006</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6</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Oedogonium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1134</v>
      </c>
      <c r="Q25" s="221">
        <f t="shared" si="3"/>
        <v>0.054</v>
      </c>
      <c r="R25" s="222">
        <f t="shared" si="4"/>
        <v>1</v>
      </c>
      <c r="S25" s="222">
        <f t="shared" si="5"/>
        <v>6</v>
      </c>
      <c r="T25" s="222">
        <f t="shared" si="6"/>
        <v>12</v>
      </c>
      <c r="U25" s="236">
        <f t="shared" si="7"/>
        <v>2</v>
      </c>
      <c r="V25" s="223">
        <v>2</v>
      </c>
      <c r="W25" s="224" t="s">
        <v>53</v>
      </c>
      <c r="Y25" s="225" t="str">
        <f>IF(A25="new.cod","NEWCOD",IF(AND((Z25=""),ISTEXT(A25)),A25,IF(Z25="","",INDEX('[1]liste reference'!$A$7:$A$892,Z25))))</f>
        <v>OEDSPX</v>
      </c>
      <c r="Z25" s="8">
        <f>IF(ISERROR(MATCH(A25,'[1]liste reference'!$A$7:$A$892,0)),IF(ISERROR(MATCH(A25,'[1]liste reference'!$B$7:$B$892,0)),"",(MATCH(A25,'[1]liste reference'!$B$7:$B$892,0))),(MATCH(A25,'[1]liste reference'!$A$7:$A$892,0)))</f>
        <v>542</v>
      </c>
      <c r="AA25" s="226"/>
      <c r="AB25" s="227"/>
      <c r="AC25" s="227"/>
      <c r="BC25" s="8">
        <f t="shared" si="8"/>
        <v>1</v>
      </c>
    </row>
    <row r="26" spans="1:55" ht="12.75">
      <c r="A26" s="228" t="s">
        <v>79</v>
      </c>
      <c r="B26" s="229">
        <v>0</v>
      </c>
      <c r="C26" s="230">
        <v>26.5</v>
      </c>
      <c r="D26" s="231" t="str">
        <f>IF(ISERROR(VLOOKUP($A26,'[1]liste reference'!$A$7:$D$892,2,0)),IF(ISERROR(VLOOKUP($A26,'[1]liste reference'!$B$7:$D$892,1,0)),"",VLOOKUP($A26,'[1]liste reference'!$B$7:$D$892,1,0)),VLOOKUP($A26,'[1]liste reference'!$A$7:$D$892,2,0))</f>
        <v>Spirogyra sp.</v>
      </c>
      <c r="E26" s="231" t="e">
        <f>IF(D26="",,VLOOKUP(D26,D$22:D25,1,0))</f>
        <v>#N/A</v>
      </c>
      <c r="F26" s="232">
        <f t="shared" si="1"/>
        <v>2.65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Spirogyra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1147</v>
      </c>
      <c r="Q26" s="221">
        <f t="shared" si="3"/>
        <v>2.65</v>
      </c>
      <c r="R26" s="222">
        <f t="shared" si="4"/>
        <v>3</v>
      </c>
      <c r="S26" s="222">
        <f t="shared" si="5"/>
        <v>30</v>
      </c>
      <c r="T26" s="222">
        <f t="shared" si="6"/>
        <v>30</v>
      </c>
      <c r="U26" s="236">
        <f t="shared" si="7"/>
        <v>3</v>
      </c>
      <c r="V26" s="223">
        <v>3</v>
      </c>
      <c r="W26" s="224" t="s">
        <v>53</v>
      </c>
      <c r="Y26" s="225" t="str">
        <f>IF(A26="new.cod","NEWCOD",IF(AND((Z26=""),ISTEXT(A26)),A26,IF(Z26="","",INDEX('[1]liste reference'!$A$7:$A$892,Z26))))</f>
        <v>SPISPX</v>
      </c>
      <c r="Z26" s="8">
        <f>IF(ISERROR(MATCH(A26,'[1]liste reference'!$A$7:$A$892,0)),IF(ISERROR(MATCH(A26,'[1]liste reference'!$B$7:$B$892,0)),"",(MATCH(A26,'[1]liste reference'!$B$7:$B$892,0))),(MATCH(A26,'[1]liste reference'!$A$7:$A$892,0)))</f>
        <v>815</v>
      </c>
      <c r="AA26" s="226"/>
      <c r="AB26" s="227"/>
      <c r="AC26" s="227"/>
      <c r="BC26" s="8">
        <f t="shared" si="8"/>
        <v>1</v>
      </c>
    </row>
    <row r="27" spans="1:55" ht="12.75">
      <c r="A27" s="228" t="s">
        <v>80</v>
      </c>
      <c r="B27" s="229">
        <v>0.045</v>
      </c>
      <c r="C27" s="230">
        <v>0</v>
      </c>
      <c r="D27" s="231" t="str">
        <f>IF(ISERROR(VLOOKUP($A27,'[1]liste reference'!$A$7:$D$892,2,0)),IF(ISERROR(VLOOKUP($A27,'[1]liste reference'!$B$7:$D$892,1,0)),"",VLOOKUP($A27,'[1]liste reference'!$B$7:$D$892,1,0)),VLOOKUP($A27,'[1]liste reference'!$A$7:$D$892,2,0))</f>
        <v>Vaucheria sp.</v>
      </c>
      <c r="E27" s="231" t="e">
        <f>IF(D27="",,VLOOKUP(D27,D$22:D26,1,0))</f>
        <v>#N/A</v>
      </c>
      <c r="F27" s="232">
        <f t="shared" si="1"/>
        <v>0.0405</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4</v>
      </c>
      <c r="J27" s="217">
        <f>IF(ISNUMBER(H27),IF(ISERROR(VLOOKUP($A27,'[1]liste reference'!$A$7:$P$892,4,0)),IF(ISERROR(VLOOKUP($A27,'[1]liste reference'!$B$7:$P$892,3,0)),"",VLOOKUP($A27,'[1]liste reference'!$B$7:$P$892,3,0)),VLOOKUP($A27,'[1]liste reference'!$A$7:$P$892,4,0)),"")</f>
        <v>1</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Vaucheria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6193</v>
      </c>
      <c r="Q27" s="221">
        <f t="shared" si="3"/>
        <v>0.0405</v>
      </c>
      <c r="R27" s="222">
        <f t="shared" si="4"/>
        <v>1</v>
      </c>
      <c r="S27" s="222">
        <f t="shared" si="5"/>
        <v>4</v>
      </c>
      <c r="T27" s="222">
        <f t="shared" si="6"/>
        <v>4</v>
      </c>
      <c r="U27" s="236">
        <f t="shared" si="7"/>
        <v>1</v>
      </c>
      <c r="V27" s="223">
        <v>1</v>
      </c>
      <c r="W27" s="224" t="s">
        <v>53</v>
      </c>
      <c r="Y27" s="225" t="str">
        <f>IF(A27="new.cod","NEWCOD",IF(AND((Z27=""),ISTEXT(A27)),A27,IF(Z27="","",INDEX('[1]liste reference'!$A$7:$A$892,Z27))))</f>
        <v>VAUSPX</v>
      </c>
      <c r="Z27" s="8">
        <f>IF(ISERROR(MATCH(A27,'[1]liste reference'!$A$7:$A$892,0)),IF(ISERROR(MATCH(A27,'[1]liste reference'!$B$7:$B$892,0)),"",(MATCH(A27,'[1]liste reference'!$B$7:$B$892,0))),(MATCH(A27,'[1]liste reference'!$A$7:$A$892,0)))</f>
        <v>864</v>
      </c>
      <c r="AA27" s="226"/>
      <c r="AB27" s="227"/>
      <c r="AC27" s="227"/>
      <c r="BC27" s="8">
        <f t="shared" si="8"/>
        <v>1</v>
      </c>
    </row>
    <row r="28" spans="1:55" ht="12.75">
      <c r="A28" s="228" t="s">
        <v>81</v>
      </c>
      <c r="B28" s="229">
        <v>0</v>
      </c>
      <c r="C28" s="230">
        <v>0.02</v>
      </c>
      <c r="D28" s="231" t="str">
        <f>IF(ISERROR(VLOOKUP($A28,'[1]liste reference'!$A$7:$D$892,2,0)),IF(ISERROR(VLOOKUP($A28,'[1]liste reference'!$B$7:$D$892,1,0)),"",VLOOKUP($A28,'[1]liste reference'!$B$7:$D$892,1,0)),VLOOKUP($A28,'[1]liste reference'!$A$7:$D$892,2,0))</f>
        <v>Cinclidotus riparius</v>
      </c>
      <c r="E28" s="231" t="e">
        <f>IF(D28="",,VLOOKUP(D28,D$22:D27,1,0))</f>
        <v>#N/A</v>
      </c>
      <c r="F28" s="232">
        <f t="shared" si="1"/>
        <v>0.002</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13</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Cinclidotus riparius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1321</v>
      </c>
      <c r="Q28" s="221">
        <f t="shared" si="3"/>
        <v>0.002</v>
      </c>
      <c r="R28" s="222">
        <f t="shared" si="4"/>
        <v>1</v>
      </c>
      <c r="S28" s="222">
        <f t="shared" si="5"/>
        <v>13</v>
      </c>
      <c r="T28" s="222">
        <f t="shared" si="6"/>
        <v>26</v>
      </c>
      <c r="U28" s="236">
        <f t="shared" si="7"/>
        <v>2</v>
      </c>
      <c r="V28" s="223">
        <v>2</v>
      </c>
      <c r="W28" s="224" t="s">
        <v>53</v>
      </c>
      <c r="Y28" s="225" t="str">
        <f>IF(A28="new.cod","NEWCOD",IF(AND((Z28=""),ISTEXT(A28)),A28,IF(Z28="","",INDEX('[1]liste reference'!$A$7:$A$892,Z28))))</f>
        <v>CINRIP</v>
      </c>
      <c r="Z28" s="8">
        <f>IF(ISERROR(MATCH(A28,'[1]liste reference'!$A$7:$A$892,0)),IF(ISERROR(MATCH(A28,'[1]liste reference'!$B$7:$B$892,0)),"",(MATCH(A28,'[1]liste reference'!$B$7:$B$892,0))),(MATCH(A28,'[1]liste reference'!$A$7:$A$892,0)))</f>
        <v>177</v>
      </c>
      <c r="AA28" s="226"/>
      <c r="AB28" s="227"/>
      <c r="AC28" s="227"/>
      <c r="BC28" s="8">
        <f t="shared" si="8"/>
        <v>1</v>
      </c>
    </row>
    <row r="29" spans="1:55" ht="12.75">
      <c r="A29" s="228" t="s">
        <v>82</v>
      </c>
      <c r="B29" s="229">
        <v>0</v>
      </c>
      <c r="C29" s="230">
        <v>0.01</v>
      </c>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0.001</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0.001</v>
      </c>
      <c r="R29" s="222">
        <f t="shared" si="4"/>
        <v>1</v>
      </c>
      <c r="S29" s="222">
        <f t="shared" si="5"/>
        <v>12</v>
      </c>
      <c r="T29" s="222">
        <f t="shared" si="6"/>
        <v>12</v>
      </c>
      <c r="U29" s="236">
        <f t="shared" si="7"/>
        <v>1</v>
      </c>
      <c r="V29" s="223">
        <v>1</v>
      </c>
      <c r="W29" s="224" t="s">
        <v>53</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53</v>
      </c>
      <c r="B30" s="229"/>
      <c r="C30" s="230"/>
      <c r="D30" s="231">
        <f>IF(ISERROR(VLOOKUP($A30,'[1]liste reference'!$A$7:$D$892,2,0)),IF(ISERROR(VLOOKUP($A30,'[1]liste reference'!$B$7:$D$892,1,0)),"",VLOOKUP($A30,'[1]liste reference'!$B$7:$D$892,1,0)),VLOOKUP($A30,'[1]liste reference'!$A$7:$D$892,2,0))</f>
      </c>
      <c r="E30" s="231">
        <f>IF(D30="",,VLOOKUP(D30,D$22:D29,1,0))</f>
        <v>0</v>
      </c>
      <c r="F30" s="232">
        <f t="shared" si="1"/>
        <v>0</v>
      </c>
      <c r="G30" s="233">
        <f>IF(A30="","",IF(ISERROR(VLOOKUP($A30,'[1]liste reference'!$A$7:$P$892,13,0)),IF(ISERROR(VLOOKUP($A30,'[1]liste reference'!$B$7:$P$892,12,0)),"    -",VLOOKUP($A30,'[1]liste reference'!$B$7:$P$892,12,0)),VLOOKUP($A30,'[1]liste reference'!$A$7:$P$892,13,0)))</f>
      </c>
      <c r="H30" s="215" t="str">
        <f>IF(A30="","x",IF(ISERROR(VLOOKUP($A30,'[1]liste reference'!$A$7:$P$892,14,0)),IF(ISERROR(VLOOKUP($A30,'[1]liste reference'!$B$7:$P$892,13,0)),"x",VLOOKUP($A30,'[1]liste reference'!$B$7:$P$892,13,0)),VLOOKUP($A30,'[1]liste reference'!$A$7:$P$892,14,0)))</f>
        <v>x</v>
      </c>
      <c r="I30" s="234">
        <f>IF(ISNUMBER(H30),IF(ISERROR(VLOOKUP($A30,'[1]liste reference'!$A$7:$P$892,3,0)),IF(ISERROR(VLOOKUP($A30,'[1]liste reference'!$B$7:$P$892,2,0)),"",VLOOKUP($A30,'[1]liste reference'!$B$7:$P$892,2,0)),VLOOKUP($A30,'[1]liste reference'!$A$7:$P$892,3,0)),"")</f>
      </c>
      <c r="J30" s="217">
        <f>IF(ISNUMBER(H30),IF(ISERROR(VLOOKUP($A30,'[1]liste reference'!$A$7:$P$892,4,0)),IF(ISERROR(VLOOKUP($A30,'[1]liste reference'!$B$7:$P$892,3,0)),"",VLOOKUP($A30,'[1]liste reference'!$B$7:$P$892,3,0)),VLOOKUP($A30,'[1]liste reference'!$A$7:$P$892,4,0)),"")</f>
      </c>
      <c r="K30" s="218">
        <f>IF(A30="NEWCOD",IF(AB30="","Remplir le champs 'Nouveau taxa' svp.",$AB30),IF(ISTEXT($E30),"DEJA SAISI !",IF(A30="","",IF(ISERROR(VLOOKUP($A30,'[1]liste reference'!$A$7:$D$892,2,0)),IF(ISERROR(VLOOKUP($A30,'[1]liste reference'!$B$7:$D$892,1,0)),"code non répertorié ou synonyme",VLOOKUP($A30,'[1]liste reference'!$B$7:$D$892,1,0)),VLOOKUP(A30,'[1]liste reference'!$A$7:$D$892,2,0)))))</f>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c>
      <c r="Q30" s="221">
        <f t="shared" si="3"/>
      </c>
      <c r="R30" s="222">
        <f t="shared" si="4"/>
      </c>
      <c r="S30" s="222">
        <f t="shared" si="5"/>
        <v>0</v>
      </c>
      <c r="T30" s="222">
        <f t="shared" si="6"/>
        <v>0</v>
      </c>
      <c r="U30" s="236">
        <f t="shared" si="7"/>
        <v>0</v>
      </c>
      <c r="V30" s="223">
        <v>0</v>
      </c>
      <c r="W30" s="224" t="s">
        <v>53</v>
      </c>
      <c r="Y30" s="225">
        <f>IF(A30="new.cod","NEWCOD",IF(AND((Z30=""),ISTEXT(A30)),A30,IF(Z30="","",INDEX('[1]liste reference'!$A$7:$A$892,Z30))))</f>
      </c>
      <c r="Z30" s="8">
        <f>IF(ISERROR(MATCH(A30,'[1]liste reference'!$A$7:$A$892,0)),IF(ISERROR(MATCH(A30,'[1]liste reference'!$B$7:$B$892,0)),"",(MATCH(A30,'[1]liste reference'!$B$7:$B$892,0))),(MATCH(A30,'[1]liste reference'!$A$7:$A$892,0)))</f>
      </c>
      <c r="AA30" s="226"/>
      <c r="AB30" s="227"/>
      <c r="AC30" s="227"/>
      <c r="BC30" s="8">
        <f t="shared" si="8"/>
      </c>
    </row>
    <row r="31" spans="1:55" ht="12.75">
      <c r="A31" s="228" t="s">
        <v>53</v>
      </c>
      <c r="B31" s="229"/>
      <c r="C31" s="230"/>
      <c r="D31" s="231">
        <f>IF(ISERROR(VLOOKUP($A31,'[1]liste reference'!$A$7:$D$892,2,0)),IF(ISERROR(VLOOKUP($A31,'[1]liste reference'!$B$7:$D$892,1,0)),"",VLOOKUP($A31,'[1]liste reference'!$B$7:$D$892,1,0)),VLOOKUP($A31,'[1]liste reference'!$A$7:$D$892,2,0))</f>
      </c>
      <c r="E31" s="231">
        <f>IF(D31="",,VLOOKUP(D31,D$22:D30,1,0))</f>
        <v>0</v>
      </c>
      <c r="F31" s="232">
        <f t="shared" si="1"/>
        <v>0</v>
      </c>
      <c r="G31" s="233">
        <f>IF(A31="","",IF(ISERROR(VLOOKUP($A31,'[1]liste reference'!$A$7:$P$892,13,0)),IF(ISERROR(VLOOKUP($A31,'[1]liste reference'!$B$7:$P$892,12,0)),"    -",VLOOKUP($A31,'[1]liste reference'!$B$7:$P$892,12,0)),VLOOKUP($A31,'[1]liste reference'!$A$7:$P$892,13,0)))</f>
      </c>
      <c r="H31" s="215" t="str">
        <f>IF(A31="","x",IF(ISERROR(VLOOKUP($A31,'[1]liste reference'!$A$7:$P$892,14,0)),IF(ISERROR(VLOOKUP($A31,'[1]liste reference'!$B$7:$P$892,13,0)),"x",VLOOKUP($A31,'[1]liste reference'!$B$7:$P$892,13,0)),VLOOKUP($A31,'[1]liste reference'!$A$7:$P$892,14,0)))</f>
        <v>x</v>
      </c>
      <c r="I31" s="234">
        <f>IF(ISNUMBER(H31),IF(ISERROR(VLOOKUP($A31,'[1]liste reference'!$A$7:$P$892,3,0)),IF(ISERROR(VLOOKUP($A31,'[1]liste reference'!$B$7:$P$892,2,0)),"",VLOOKUP($A31,'[1]liste reference'!$B$7:$P$892,2,0)),VLOOKUP($A31,'[1]liste reference'!$A$7:$P$892,3,0)),"")</f>
      </c>
      <c r="J31" s="217">
        <f>IF(ISNUMBER(H31),IF(ISERROR(VLOOKUP($A31,'[1]liste reference'!$A$7:$P$892,4,0)),IF(ISERROR(VLOOKUP($A31,'[1]liste reference'!$B$7:$P$892,3,0)),"",VLOOKUP($A31,'[1]liste reference'!$B$7:$P$892,3,0)),VLOOKUP($A31,'[1]liste reference'!$A$7:$P$892,4,0)),"")</f>
      </c>
      <c r="K31" s="218">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c>
      <c r="Q31" s="221">
        <f t="shared" si="3"/>
      </c>
      <c r="R31" s="222">
        <f t="shared" si="4"/>
      </c>
      <c r="S31" s="222">
        <f t="shared" si="5"/>
        <v>0</v>
      </c>
      <c r="T31" s="222">
        <f t="shared" si="6"/>
        <v>0</v>
      </c>
      <c r="U31" s="236">
        <f t="shared" si="7"/>
        <v>0</v>
      </c>
      <c r="V31" s="223">
        <v>0</v>
      </c>
      <c r="W31" s="224" t="s">
        <v>53</v>
      </c>
      <c r="Y31" s="225">
        <f>IF(A31="new.cod","NEWCOD",IF(AND((Z31=""),ISTEXT(A31)),A31,IF(Z31="","",INDEX('[1]liste reference'!$A$7:$A$892,Z31))))</f>
      </c>
      <c r="Z31" s="8">
        <f>IF(ISERROR(MATCH(A31,'[1]liste reference'!$A$7:$A$892,0)),IF(ISERROR(MATCH(A31,'[1]liste reference'!$B$7:$B$892,0)),"",(MATCH(A31,'[1]liste reference'!$B$7:$B$892,0))),(MATCH(A31,'[1]liste reference'!$A$7:$A$892,0)))</f>
      </c>
      <c r="AA31" s="226"/>
      <c r="AB31" s="227"/>
      <c r="AC31" s="227"/>
      <c r="BC31" s="8">
        <f t="shared" si="8"/>
      </c>
    </row>
    <row r="32" spans="1:55" ht="12.75">
      <c r="A32" s="228" t="s">
        <v>53</v>
      </c>
      <c r="B32" s="229"/>
      <c r="C32" s="230"/>
      <c r="D32" s="231">
        <f>IF(ISERROR(VLOOKUP($A32,'[1]liste reference'!$A$7:$D$892,2,0)),IF(ISERROR(VLOOKUP($A32,'[1]liste reference'!$B$7:$D$892,1,0)),"",VLOOKUP($A32,'[1]liste reference'!$B$7:$D$892,1,0)),VLOOKUP($A32,'[1]liste reference'!$A$7:$D$892,2,0))</f>
      </c>
      <c r="E32" s="231">
        <f>IF(D32="",,VLOOKUP(D32,D$22:D31,1,0))</f>
        <v>0</v>
      </c>
      <c r="F32" s="232">
        <f t="shared" si="1"/>
        <v>0</v>
      </c>
      <c r="G32" s="233">
        <f>IF(A32="","",IF(ISERROR(VLOOKUP($A32,'[1]liste reference'!$A$7:$P$892,13,0)),IF(ISERROR(VLOOKUP($A32,'[1]liste reference'!$B$7:$P$892,12,0)),"    -",VLOOKUP($A32,'[1]liste reference'!$B$7:$P$892,12,0)),VLOOKUP($A32,'[1]liste reference'!$A$7:$P$892,13,0)))</f>
      </c>
      <c r="H32" s="215" t="str">
        <f>IF(A32="","x",IF(ISERROR(VLOOKUP($A32,'[1]liste reference'!$A$7:$P$892,14,0)),IF(ISERROR(VLOOKUP($A32,'[1]liste reference'!$B$7:$P$892,13,0)),"x",VLOOKUP($A32,'[1]liste reference'!$B$7:$P$892,13,0)),VLOOKUP($A32,'[1]liste reference'!$A$7:$P$892,14,0)))</f>
        <v>x</v>
      </c>
      <c r="I32" s="234">
        <f>IF(ISNUMBER(H32),IF(ISERROR(VLOOKUP($A32,'[1]liste reference'!$A$7:$P$892,3,0)),IF(ISERROR(VLOOKUP($A32,'[1]liste reference'!$B$7:$P$892,2,0)),"",VLOOKUP($A32,'[1]liste reference'!$B$7:$P$892,2,0)),VLOOKUP($A32,'[1]liste reference'!$A$7:$P$892,3,0)),"")</f>
      </c>
      <c r="J32" s="217">
        <f>IF(ISNUMBER(H32),IF(ISERROR(VLOOKUP($A32,'[1]liste reference'!$A$7:$P$892,4,0)),IF(ISERROR(VLOOKUP($A32,'[1]liste reference'!$B$7:$P$892,3,0)),"",VLOOKUP($A32,'[1]liste reference'!$B$7:$P$892,3,0)),VLOOKUP($A32,'[1]liste reference'!$A$7:$P$892,4,0)),"")</f>
      </c>
      <c r="K32" s="218">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c>
      <c r="Q32" s="221">
        <f t="shared" si="3"/>
      </c>
      <c r="R32" s="222">
        <f t="shared" si="4"/>
      </c>
      <c r="S32" s="222">
        <f t="shared" si="5"/>
        <v>0</v>
      </c>
      <c r="T32" s="222">
        <f t="shared" si="6"/>
        <v>0</v>
      </c>
      <c r="U32" s="236">
        <f t="shared" si="7"/>
        <v>0</v>
      </c>
      <c r="V32" s="223">
        <v>0</v>
      </c>
      <c r="W32" s="224" t="s">
        <v>53</v>
      </c>
      <c r="Y32" s="225">
        <f>IF(A32="new.cod","NEWCOD",IF(AND((Z32=""),ISTEXT(A32)),A32,IF(Z32="","",INDEX('[1]liste reference'!$A$7:$A$892,Z32))))</f>
      </c>
      <c r="Z32" s="8">
        <f>IF(ISERROR(MATCH(A32,'[1]liste reference'!$A$7:$A$892,0)),IF(ISERROR(MATCH(A32,'[1]liste reference'!$B$7:$B$892,0)),"",(MATCH(A32,'[1]liste reference'!$B$7:$B$892,0))),(MATCH(A32,'[1]liste reference'!$A$7:$A$892,0)))</f>
      </c>
      <c r="AA32" s="226"/>
      <c r="AB32" s="227"/>
      <c r="AC32" s="227"/>
      <c r="BC32" s="8">
        <f t="shared" si="8"/>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83</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Arly</v>
      </c>
      <c r="B84" s="259" t="str">
        <f>C3</f>
        <v>Arly à Césarches</v>
      </c>
      <c r="C84" s="260">
        <f>A4</f>
        <v>41145</v>
      </c>
      <c r="D84" s="261">
        <f>IF(ISERROR(SUM($T$23:$T$82)/SUM($U$23:$U$82)),"",SUM($T$23:$T$82)/SUM($U$23:$U$82))</f>
        <v>8.625</v>
      </c>
      <c r="E84" s="262">
        <f>N13</f>
        <v>7</v>
      </c>
      <c r="F84" s="259">
        <f>N14</f>
        <v>7</v>
      </c>
      <c r="G84" s="259">
        <f>N15</f>
        <v>5</v>
      </c>
      <c r="H84" s="259">
        <f>N16</f>
        <v>2</v>
      </c>
      <c r="I84" s="259">
        <f>N17</f>
        <v>0</v>
      </c>
      <c r="J84" s="263">
        <f>N8</f>
        <v>8.714285714285714</v>
      </c>
      <c r="K84" s="261">
        <f>N9</f>
        <v>3.4016802570830453</v>
      </c>
      <c r="L84" s="262">
        <f>N10</f>
        <v>4</v>
      </c>
      <c r="M84" s="262">
        <f>N11</f>
        <v>13</v>
      </c>
      <c r="N84" s="261">
        <f>O8</f>
        <v>1.2857142857142858</v>
      </c>
      <c r="O84" s="261">
        <f>O9</f>
        <v>0.48795003647426666</v>
      </c>
      <c r="P84" s="262">
        <f>O10</f>
        <v>1</v>
      </c>
      <c r="Q84" s="262">
        <f>O11</f>
        <v>2</v>
      </c>
      <c r="R84" s="262">
        <f>F21</f>
        <v>21.8575</v>
      </c>
      <c r="S84" s="262">
        <f>K11</f>
        <v>0</v>
      </c>
      <c r="T84" s="262">
        <f>K12</f>
        <v>5</v>
      </c>
      <c r="U84" s="262">
        <f>K13</f>
        <v>2</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84</v>
      </c>
      <c r="R86" s="8"/>
      <c r="S86" s="223"/>
      <c r="T86" s="8"/>
      <c r="U86" s="8"/>
      <c r="V86" s="8"/>
    </row>
    <row r="87" spans="16:22" ht="12.75" hidden="1">
      <c r="P87" s="8"/>
      <c r="Q87" s="8" t="s">
        <v>85</v>
      </c>
      <c r="R87" s="8"/>
      <c r="S87" s="223">
        <f>VLOOKUP(MAX($S$23:$S$82),($S$23:$U$82),1,0)</f>
        <v>30</v>
      </c>
      <c r="T87" s="8"/>
      <c r="U87" s="8"/>
      <c r="V87" s="8"/>
    </row>
    <row r="88" spans="16:22" ht="12.75" hidden="1">
      <c r="P88" s="8"/>
      <c r="Q88" s="8" t="s">
        <v>86</v>
      </c>
      <c r="R88" s="8"/>
      <c r="S88" s="223">
        <f>VLOOKUP((S87),($S$23:$U$82),2,0)</f>
        <v>30</v>
      </c>
      <c r="T88" s="8"/>
      <c r="U88" s="8"/>
      <c r="V88" s="8"/>
    </row>
    <row r="89" spans="17:20" ht="12.75">
      <c r="Q89" s="8" t="s">
        <v>87</v>
      </c>
      <c r="R89" s="8"/>
      <c r="S89" s="223">
        <f>VLOOKUP((S87),($S$23:$U$82),3,0)</f>
        <v>3</v>
      </c>
      <c r="T89" s="8"/>
    </row>
    <row r="90" spans="17:20" ht="12.75">
      <c r="Q90" s="8" t="s">
        <v>88</v>
      </c>
      <c r="R90" s="8"/>
      <c r="S90" s="268">
        <f>IF(ISERROR(SUM($T$23:$T$82)/SUM($U$23:$U$82)),"",(SUM($T$23:$T$82)-S88)/(SUM($U$23:$U$82)-S89))</f>
        <v>8.307692307692308</v>
      </c>
      <c r="T90" s="8"/>
    </row>
    <row r="91" spans="17:21" ht="12.75">
      <c r="Q91" s="222" t="s">
        <v>89</v>
      </c>
      <c r="R91" s="222"/>
      <c r="S91" s="222" t="str">
        <f>INDEX('[1]liste reference'!$A$7:$A$892,$T$91)</f>
        <v>MELSPX</v>
      </c>
      <c r="T91" s="8">
        <f>IF(ISERROR(MATCH($S$93,'[1]liste reference'!$A$7:$A$892,0)),MATCH($S$93,'[1]liste reference'!$B$7:$B$892,0),(MATCH($S$93,'[1]liste reference'!$A$7:$A$892,0)))</f>
        <v>457</v>
      </c>
      <c r="U91" s="257"/>
    </row>
    <row r="92" spans="17:20" ht="12.75">
      <c r="Q92" s="8" t="s">
        <v>90</v>
      </c>
      <c r="R92" s="8"/>
      <c r="S92" s="8">
        <f>MATCH(S87,$S$23:$S$82,0)</f>
        <v>2</v>
      </c>
      <c r="T92" s="8"/>
    </row>
    <row r="93" spans="17:20" ht="12.75">
      <c r="Q93" s="222" t="s">
        <v>91</v>
      </c>
      <c r="R93" s="8"/>
      <c r="S93" s="222" t="str">
        <f>INDEX($A$23:$A$82,$S$92)</f>
        <v>MELSPX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'/tmp/tmpzsyxknsv\[12001_ARCES_24-08-12_IBMR_LF.xls]liste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2012-12-20T10:56:12Z</dcterms:created>
  <dcterms:modified xsi:type="dcterms:W3CDTF">2012-12-20T10:56:14Z</dcterms:modified>
  <cp:category/>
  <cp:version/>
  <cp:contentType/>
  <cp:contentStatus/>
</cp:coreProperties>
</file>