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<sst xmlns="http://schemas.openxmlformats.org/spreadsheetml/2006/main" count="219" uniqueCount="94">
  <si>
    <t>Relevés floristiques aquatiques - IBMR</t>
  </si>
  <si>
    <t xml:space="preserve">Formulaire modèle GIS Macrophytes v 3.3 - novembre 2013  </t>
  </si>
  <si>
    <t>sage environnement</t>
  </si>
  <si>
    <t>L.Isebe M. Gauthier</t>
  </si>
  <si>
    <t>conforme AFNOR T90-395 oct. 2003</t>
  </si>
  <si>
    <t>jonche</t>
  </si>
  <si>
    <t>la jonche a la mure</t>
  </si>
  <si>
    <t>06142687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</si>
  <si>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</si>
  <si>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</si>
  <si>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</si>
  <si>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</si>
  <si>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</si>
  <si>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</si>
  <si>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</si>
  <si>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</si>
  <si>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</si>
  <si>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</si>
  <si>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rapide</t>
  </si>
  <si>
    <t>plat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</si>
  <si>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</si>
  <si>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</si>
  <si>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</si>
  <si>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</si>
  <si>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</si>
  <si>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</si>
  <si>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</si>
  <si>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</si>
  <si>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</si>
  <si>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</si>
  <si>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</si>
  <si>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</si>
  <si>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</si>
  <si>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</si>
  <si>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</si>
  <si>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</si>
  <si>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</si>
  <si>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</si>
  <si>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</si>
  <si>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</si>
  <si>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</si>
  <si>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</si>
  <si>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</si>
  <si>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</si>
  <si>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</si>
  <si>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</si>
  <si>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</si>
  <si>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</si>
  <si>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</si>
  <si>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</si>
  <si>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</si>
  <si>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</si>
  <si>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</si>
  <si>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</si>
  <si>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</si>
  <si>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</si>
  <si>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</si>
  <si>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</si>
  <si>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</si>
  <si>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</si>
  <si>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</si>
  <si>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</si>
  <si>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</si>
  <si>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</si>
  <si>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</si>
  <si>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</si>
  <si>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</si>
  <si>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</si>
  <si>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</si>
  <si>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</si>
  <si>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</si>
  <si>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</si>
  <si>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</si>
  <si>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</si>
  <si>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</si>
  <si>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</si>
  <si>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</si>
  <si>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</si>
  <si>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</si>
  <si>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</si>
  <si>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MICSPX</t>
  </si>
  <si>
    <t>OEDSPX</t>
  </si>
  <si>
    <t>AMBRIP</t>
  </si>
  <si>
    <t>CINRIP</t>
  </si>
  <si>
    <t>CINSPX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</si>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</sst>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JOMUR_25-08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N41" sqref="N4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41876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</v>
      </c>
      <c r="M5" s="52"/>
      <c r="N5" s="53" t="s">
        <v>16</v>
      </c>
      <c r="O5" s="54">
        <v>7.428571428571429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8.666666666666666</v>
      </c>
      <c r="O8" s="84">
        <f>IF(ISERROR(AVERAGE(J23:J82)),"      -",AVERAGE(J23:J82))</f>
        <v>1.6666666666666667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25.83</v>
      </c>
      <c r="C9" s="87">
        <v>5.11</v>
      </c>
      <c r="D9" s="88"/>
      <c r="E9" s="88"/>
      <c r="F9" s="89">
        <f>($B9*$B$7+$C9*$C$7)/100</f>
        <v>24.794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3.1446603773522015</v>
      </c>
      <c r="O9" s="84">
        <f>IF(ISERROR(STDEVP(J23:J82)),"      -",STDEVP(J23:J82))</f>
        <v>0.4714045207910317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5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0.81</v>
      </c>
      <c r="C12" s="120"/>
      <c r="D12" s="111"/>
      <c r="E12" s="111"/>
      <c r="F12" s="112">
        <f>($B12*$B$7+$C12*$C$7)/100</f>
        <v>0.7695000000000001</v>
      </c>
      <c r="G12" s="121"/>
      <c r="H12" s="67"/>
      <c r="I12" s="122" t="s">
        <v>39</v>
      </c>
      <c r="J12" s="123"/>
      <c r="K12" s="116">
        <f>COUNTIF($G$23:$G$82,"=ALG")</f>
        <v>3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25.02</v>
      </c>
      <c r="C13" s="120">
        <v>5.11</v>
      </c>
      <c r="D13" s="111"/>
      <c r="E13" s="111"/>
      <c r="F13" s="112">
        <f>($B13*$B$7+$C13*$C$7)/100</f>
        <v>24.024500000000003</v>
      </c>
      <c r="G13" s="121"/>
      <c r="H13" s="67"/>
      <c r="I13" s="129" t="s">
        <v>41</v>
      </c>
      <c r="J13" s="123"/>
      <c r="K13" s="116">
        <f>COUNTIF($G$23:$G$82,"=BRm")+COUNTIF($G$23:$G$82,"=BRh")</f>
        <v>4</v>
      </c>
      <c r="L13" s="117"/>
      <c r="M13" s="130" t="s">
        <v>42</v>
      </c>
      <c r="N13" s="131">
        <f>COUNTIF(F23:F82,"&gt;0")</f>
        <v>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6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2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25.83</v>
      </c>
      <c r="C17" s="120">
        <v>5.11</v>
      </c>
      <c r="D17" s="111"/>
      <c r="E17" s="111"/>
      <c r="F17" s="147"/>
      <c r="G17" s="112">
        <f>($B17*$B$7+$C17*$C$7)/100</f>
        <v>24.794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24.794000000000004</v>
      </c>
      <c r="G19" s="161">
        <f>SUM(G16:G18)</f>
        <v>24.794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25.83</v>
      </c>
      <c r="C20" s="171">
        <f>SUM(C23:C82)</f>
        <v>5.11</v>
      </c>
      <c r="D20" s="172"/>
      <c r="E20" s="173" t="s">
        <v>54</v>
      </c>
      <c r="F20" s="174">
        <f>($B20*$B$7+$C20*$C$7)/100</f>
        <v>24.794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24.5385</v>
      </c>
      <c r="C21" s="184">
        <f>C20*C7/100</f>
        <v>0.2555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24.794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0.8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0.76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0.76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12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0.008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Microspora sp.</v>
      </c>
      <c r="E24" s="231" t="e">
        <f>IF(D24="",,VLOOKUP(D24,D$22:D23,1,0))</f>
        <v>#N/A</v>
      </c>
      <c r="F24" s="232">
        <f t="shared" si="0"/>
        <v>0.0076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Microspora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1132</v>
      </c>
      <c r="Q24" s="221">
        <f t="shared" si="1"/>
        <v>0.0076</v>
      </c>
      <c r="R24" s="222">
        <f t="shared" si="2"/>
        <v>1</v>
      </c>
      <c r="S24" s="222">
        <f t="shared" si="3"/>
        <v>12</v>
      </c>
      <c r="T24" s="222">
        <f t="shared" si="4"/>
        <v>24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MICSPX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41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0.002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31" t="e">
        <f>IF(D25="",,VLOOKUP(D25,D$22:D24,1,0))</f>
        <v>#N/A</v>
      </c>
      <c r="F25" s="232">
        <f t="shared" si="0"/>
        <v>0.0019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1">
        <f t="shared" si="1"/>
        <v>0.0019</v>
      </c>
      <c r="R25" s="222">
        <f t="shared" si="2"/>
        <v>1</v>
      </c>
      <c r="S25" s="222">
        <f t="shared" si="3"/>
        <v>6</v>
      </c>
      <c r="T25" s="222">
        <f t="shared" si="4"/>
        <v>12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4</v>
      </c>
      <c r="C26" s="230">
        <v>0.10000000000000002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Amblystegium riparium</v>
      </c>
      <c r="E26" s="231" t="e">
        <f>IF(D26="",,VLOOKUP(D26,D$22:D25,1,0))</f>
        <v>#N/A</v>
      </c>
      <c r="F26" s="232">
        <f t="shared" si="0"/>
        <v>3.805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Amblystegium riparium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1219</v>
      </c>
      <c r="Q26" s="221">
        <f t="shared" si="1"/>
        <v>3.8049999999999997</v>
      </c>
      <c r="R26" s="222">
        <f t="shared" si="2"/>
        <v>3</v>
      </c>
      <c r="S26" s="222">
        <f t="shared" si="3"/>
        <v>15</v>
      </c>
      <c r="T26" s="222">
        <f t="shared" si="4"/>
        <v>30</v>
      </c>
      <c r="U26" s="234">
        <f t="shared" si="5"/>
        <v>6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AMBRIP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148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0.01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Cinclidotus riparius</v>
      </c>
      <c r="E27" s="231" t="e">
        <f>IF(D27="",,VLOOKUP(D27,D$22:D26,1,0))</f>
        <v>#N/A</v>
      </c>
      <c r="F27" s="232">
        <f t="shared" si="0"/>
        <v>0.01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Cinclidotus riparius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1321</v>
      </c>
      <c r="Q27" s="221">
        <f t="shared" si="1"/>
        <v>0.010000000000000002</v>
      </c>
      <c r="R27" s="222">
        <f t="shared" si="2"/>
        <v>1</v>
      </c>
      <c r="S27" s="222">
        <f t="shared" si="3"/>
        <v>13</v>
      </c>
      <c r="T27" s="222">
        <f t="shared" si="4"/>
        <v>26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CINRIP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174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Cinclidotus sp.</v>
      </c>
      <c r="E28" s="231" t="e">
        <f>IF(D28="",,VLOOKUP(D28,D$22:D27,1,0))</f>
        <v>#N/A</v>
      </c>
      <c r="F28" s="232">
        <f t="shared" si="0"/>
        <v>0.009500000000000001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Cinclidotus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1317</v>
      </c>
      <c r="Q28" s="221">
        <f t="shared" si="1"/>
        <v>0.009500000000000001</v>
      </c>
      <c r="R28" s="222">
        <f t="shared" si="2"/>
        <v>1</v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CINSPX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175</v>
      </c>
      <c r="AA28" s="226"/>
      <c r="AB28" s="227"/>
      <c r="AC28" s="227"/>
      <c r="BB28" s="8">
        <f t="shared" si="7"/>
        <v>1</v>
      </c>
    </row>
    <row r="29" spans="1:54" ht="12.75">
      <c r="A29" s="228" t="s">
        <v>16</v>
      </c>
      <c r="B29" s="229">
        <v>21</v>
      </c>
      <c r="C29" s="230">
        <v>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antipyretica</v>
      </c>
      <c r="E29" s="231" t="e">
        <f>IF(D29="",,VLOOKUP(D29,D$22:D28,1,0))</f>
        <v>#N/A</v>
      </c>
      <c r="F29" s="232">
        <f t="shared" si="0"/>
        <v>20.2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antipyretica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1310</v>
      </c>
      <c r="Q29" s="221">
        <f t="shared" si="1"/>
        <v>20.2</v>
      </c>
      <c r="R29" s="222">
        <f t="shared" si="2"/>
        <v>4</v>
      </c>
      <c r="S29" s="222">
        <f t="shared" si="3"/>
        <v>40</v>
      </c>
      <c r="T29" s="222">
        <f t="shared" si="4"/>
        <v>40</v>
      </c>
      <c r="U29" s="234">
        <f t="shared" si="5"/>
        <v>4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FONANT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210</v>
      </c>
      <c r="AA29" s="226"/>
      <c r="AB29" s="227"/>
      <c r="AC29" s="227"/>
      <c r="BB29" s="8">
        <f t="shared" si="7"/>
        <v>1</v>
      </c>
    </row>
    <row r="30" spans="1:54" ht="12.75">
      <c r="A30" s="228" t="s">
        <v>55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55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jonche</v>
      </c>
      <c r="B84" s="265" t="str">
        <f>C3</f>
        <v>la jonche a la mure</v>
      </c>
      <c r="C84" s="266">
        <f>A4</f>
        <v>41876</v>
      </c>
      <c r="D84" s="267">
        <f>IF(ISERROR(SUM($T$23:$T$82)/SUM($U$23:$U$82)),"",SUM($T$23:$T$82)/SUM($U$23:$U$82))</f>
        <v>8</v>
      </c>
      <c r="E84" s="268">
        <f>N13</f>
        <v>7</v>
      </c>
      <c r="F84" s="265">
        <f>N14</f>
        <v>6</v>
      </c>
      <c r="G84" s="265">
        <f>N15</f>
        <v>2</v>
      </c>
      <c r="H84" s="265">
        <f>N16</f>
        <v>4</v>
      </c>
      <c r="I84" s="265">
        <f>N17</f>
        <v>0</v>
      </c>
      <c r="J84" s="269">
        <f>N8</f>
        <v>8.666666666666666</v>
      </c>
      <c r="K84" s="267">
        <f>N9</f>
        <v>3.1446603773522015</v>
      </c>
      <c r="L84" s="268">
        <f>N10</f>
        <v>5</v>
      </c>
      <c r="M84" s="268">
        <f>N11</f>
        <v>13</v>
      </c>
      <c r="N84" s="267">
        <f>O8</f>
        <v>1.6666666666666667</v>
      </c>
      <c r="O84" s="267">
        <f>O9</f>
        <v>0.4714045207910317</v>
      </c>
      <c r="P84" s="268">
        <f>O10</f>
        <v>1</v>
      </c>
      <c r="Q84" s="268">
        <f>O11</f>
        <v>2</v>
      </c>
      <c r="R84" s="268">
        <f>F21</f>
        <v>24.794</v>
      </c>
      <c r="S84" s="268">
        <f>K11</f>
        <v>0</v>
      </c>
      <c r="T84" s="268">
        <f>K12</f>
        <v>3</v>
      </c>
      <c r="U84" s="268">
        <f>K13</f>
        <v>4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40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40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4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7.428571428571429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FONANT</v>
      </c>
      <c r="T91" s="8">
        <f>IF(ISERROR(MATCH($S$93,'[1]liste reference'!$A$8:$A$904,0)),MATCH($S$93,'[1]liste reference'!$B$8:$B$904,0),(MATCH($S$93,'[1]liste reference'!$A$8:$A$904,0)))</f>
        <v>210</v>
      </c>
      <c r="U91" s="263"/>
    </row>
    <row r="92" spans="17:20" ht="12.75">
      <c r="Q92" s="8" t="s">
        <v>92</v>
      </c>
      <c r="R92" s="8"/>
      <c r="S92" s="8">
        <f>MATCH(S87,$S$23:$S$82,0)</f>
        <v>7</v>
      </c>
      <c r="T92" s="8"/>
    </row>
    <row r="93" spans="17:20" ht="12.75">
      <c r="Q93" s="222" t="s">
        <v>93</v>
      </c>
      <c r="R93" s="8"/>
      <c r="S93" s="222" t="str">
        <f>INDEX($A$23:$A$82,$S$92)</f>
        <v>FONANT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2015-03-17T10:35:19Z</dcterms:created>
  <dcterms:modified xsi:type="dcterms:W3CDTF">2015-03-17T10:35:25Z</dcterms:modified>
  <cp:category/>
  <cp:version/>
  <cp:contentType/>
  <cp:contentStatus/>
</cp:coreProperties>
</file>