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<sst xmlns="http://schemas.openxmlformats.org/spreadsheetml/2006/main" count="217" uniqueCount="94">
  <si>
    <t>Relevés floristiques aquatiques - IBMR</t>
  </si>
  <si>
    <t xml:space="preserve">Formulaire modèle GIS Macrophytes v 3.3 - novembre 2013  </t>
  </si>
  <si>
    <t>SAGE ENVIRONNEMENT</t>
  </si>
  <si>
    <t>L.BOURGOIN M.GAUTHIER</t>
  </si>
  <si>
    <t>conforme AFNOR T90-395 oct. 2003</t>
  </si>
  <si>
    <t>ISERE</t>
  </si>
  <si>
    <t>ISERE A TULLINS</t>
  </si>
  <si>
    <t>06147130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</si>
  <si>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</si>
  <si>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</si>
  <si>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</si>
  <si>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</si>
  <si>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</si>
  <si>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</si>
  <si>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</si>
  <si>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</si>
  <si>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</si>
  <si>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</si>
  <si>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chenal lotique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</si>
  <si>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</si>
  <si>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</si>
  <si>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</si>
  <si>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</si>
  <si>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</si>
  <si>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</si>
  <si>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</si>
  <si>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</si>
  <si>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</si>
  <si>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</si>
  <si>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</si>
  <si>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</si>
  <si>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</si>
  <si>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</si>
  <si>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</si>
  <si>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</si>
  <si>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</si>
  <si>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</si>
  <si>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</si>
  <si>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</si>
  <si>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</si>
  <si>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</si>
  <si>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</si>
  <si>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</si>
  <si>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</si>
  <si>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</si>
  <si>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</si>
  <si>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</si>
  <si>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</si>
  <si>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</si>
  <si>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</si>
  <si>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</si>
  <si>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</si>
  <si>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</si>
  <si>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</si>
  <si>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</si>
  <si>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</si>
  <si>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</si>
  <si>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</si>
  <si>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</si>
  <si>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</si>
  <si>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</si>
  <si>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</si>
  <si>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</si>
  <si>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</si>
  <si>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</si>
  <si>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</si>
  <si>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</si>
  <si>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</si>
  <si>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</si>
  <si>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</si>
  <si>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</si>
  <si>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</si>
  <si>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</si>
  <si>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</si>
  <si>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</si>
  <si>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</si>
  <si>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</si>
  <si>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</si>
  <si>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</si>
  <si>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OEDSPX</t>
  </si>
  <si>
    <t>PHOSPX</t>
  </si>
  <si>
    <t>VAUSPX</t>
  </si>
  <si>
    <t>LEJSPX</t>
  </si>
  <si>
    <t>AMBRIP</t>
  </si>
  <si>
    <t>ORTRIV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</si>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</sst>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ISTUL_25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41907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10.23076923076923</v>
      </c>
      <c r="M5" s="52"/>
      <c r="N5" s="53" t="s">
        <v>16</v>
      </c>
      <c r="O5" s="54">
        <v>9.363636363636363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/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62" t="s">
        <v>21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22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23</v>
      </c>
      <c r="O7" s="76" t="s">
        <v>24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25</v>
      </c>
      <c r="B8" s="79"/>
      <c r="C8" s="79"/>
      <c r="D8" s="67"/>
      <c r="E8" s="67"/>
      <c r="F8" s="80" t="s">
        <v>26</v>
      </c>
      <c r="G8" s="81"/>
      <c r="H8" s="82"/>
      <c r="I8" s="70"/>
      <c r="J8" s="71"/>
      <c r="K8" s="72"/>
      <c r="L8" s="73"/>
      <c r="M8" s="83" t="s">
        <v>27</v>
      </c>
      <c r="N8" s="84">
        <f>IF(ISERROR(AVERAGE(I23:I82)),"     -",AVERAGE(I23:I82))</f>
        <v>9.142857142857142</v>
      </c>
      <c r="O8" s="84">
        <f>IF(ISERROR(AVERAGE(J23:J82)),"      -",AVERAGE(J23:J82))</f>
        <v>1.8571428571428572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6">
        <v>0.002</v>
      </c>
      <c r="C9" s="87"/>
      <c r="D9" s="88"/>
      <c r="E9" s="88"/>
      <c r="F9" s="89">
        <f>($B9*$B$7+$C9*$C$7)/100</f>
        <v>0.002</v>
      </c>
      <c r="G9" s="90"/>
      <c r="H9" s="91"/>
      <c r="I9" s="92"/>
      <c r="J9" s="93"/>
      <c r="K9" s="72"/>
      <c r="L9" s="94"/>
      <c r="M9" s="83" t="s">
        <v>29</v>
      </c>
      <c r="N9" s="84">
        <f>IF(ISERROR(STDEVP(I23:I82)),"     -",STDEVP(I23:I82))</f>
        <v>4.580348440537542</v>
      </c>
      <c r="O9" s="84">
        <f>IF(ISERROR(STDEVP(J23:J82)),"      -",STDEVP(J23:J82))</f>
        <v>0.6388765649999399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30</v>
      </c>
      <c r="B10" s="98" t="s">
        <v>31</v>
      </c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15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0.0012</v>
      </c>
      <c r="C12" s="120"/>
      <c r="D12" s="111"/>
      <c r="E12" s="111"/>
      <c r="F12" s="112">
        <f>($B12*$B$7+$C12*$C$7)/100</f>
        <v>0.0012</v>
      </c>
      <c r="G12" s="121"/>
      <c r="H12" s="67"/>
      <c r="I12" s="122" t="s">
        <v>38</v>
      </c>
      <c r="J12" s="123"/>
      <c r="K12" s="116">
        <f>COUNTIF($G$23:$G$82,"=ALG")</f>
        <v>4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0.0008</v>
      </c>
      <c r="C13" s="120"/>
      <c r="D13" s="111"/>
      <c r="E13" s="111"/>
      <c r="F13" s="112">
        <f>($B13*$B$7+$C13*$C$7)/100</f>
        <v>0.0008</v>
      </c>
      <c r="G13" s="121"/>
      <c r="H13" s="67"/>
      <c r="I13" s="129" t="s">
        <v>40</v>
      </c>
      <c r="J13" s="123"/>
      <c r="K13" s="116">
        <f>COUNTIF($G$23:$G$82,"=BRm")+COUNTIF($G$23:$G$82,"=BRh")</f>
        <v>4</v>
      </c>
      <c r="L13" s="117"/>
      <c r="M13" s="130" t="s">
        <v>41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7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47</v>
      </c>
      <c r="N15" s="141">
        <f>COUNTIF(J23:J82,"=1")</f>
        <v>2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4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0.002</v>
      </c>
      <c r="C17" s="120"/>
      <c r="D17" s="111"/>
      <c r="E17" s="111"/>
      <c r="F17" s="147"/>
      <c r="G17" s="112">
        <f>($B17*$B$7+$C17*$C$7)/100</f>
        <v>0.002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/>
      <c r="D18" s="111"/>
      <c r="E18" s="152" t="s">
        <v>53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0.002</v>
      </c>
      <c r="G19" s="161">
        <f>SUM(G16:G18)</f>
        <v>0.002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0.0020000000000000005</v>
      </c>
      <c r="C20" s="171">
        <f>SUM(C23:C82)</f>
        <v>0</v>
      </c>
      <c r="D20" s="172"/>
      <c r="E20" s="173" t="s">
        <v>53</v>
      </c>
      <c r="F20" s="174">
        <f>($B20*$B$7+$C20*$C$7)/100</f>
        <v>0.0020000000000000005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0.0020000000000000005</v>
      </c>
      <c r="C21" s="184">
        <f>C20*C7/100</f>
        <v>0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0.0020000000000000005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0.0002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0.0002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0.0002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6</v>
      </c>
      <c r="T23" s="222">
        <f aca="true" t="shared" si="4" ref="T23:T82">IF(ISERROR(R23*I23*J23),0,R23*I23*J23)</f>
        <v>6</v>
      </c>
      <c r="U23" s="222">
        <f aca="true" t="shared" si="5" ref="U23:U82">IF(ISERROR(R23*J23),0,R23*J23)</f>
        <v>1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79</v>
      </c>
      <c r="B24" s="229">
        <v>0.0002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Oedogonium sp.</v>
      </c>
      <c r="E24" s="231" t="e">
        <f>IF(D24="",,VLOOKUP(D24,D$22:D23,1,0))</f>
        <v>#N/A</v>
      </c>
      <c r="F24" s="232">
        <f t="shared" si="0"/>
        <v>0.0002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Oedogonium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1134</v>
      </c>
      <c r="Q24" s="221">
        <f t="shared" si="1"/>
        <v>0.0002</v>
      </c>
      <c r="R24" s="222">
        <f t="shared" si="2"/>
        <v>1</v>
      </c>
      <c r="S24" s="222">
        <f t="shared" si="3"/>
        <v>6</v>
      </c>
      <c r="T24" s="222">
        <f t="shared" si="4"/>
        <v>12</v>
      </c>
      <c r="U24" s="234">
        <f t="shared" si="5"/>
        <v>2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OEDSPX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55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80</v>
      </c>
      <c r="B25" s="229">
        <v>0.0002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1" t="e">
        <f>IF(D25="",,VLOOKUP(D25,D$22:D24,1,0))</f>
        <v>#N/A</v>
      </c>
      <c r="F25" s="232">
        <f t="shared" si="0"/>
        <v>0.0002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 t="shared" si="1"/>
        <v>0.0002</v>
      </c>
      <c r="R25" s="222">
        <f t="shared" si="2"/>
        <v>1</v>
      </c>
      <c r="S25" s="222">
        <f t="shared" si="3"/>
        <v>13</v>
      </c>
      <c r="T25" s="222">
        <f t="shared" si="4"/>
        <v>26</v>
      </c>
      <c r="U25" s="234">
        <f t="shared" si="5"/>
        <v>2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0.0006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Vaucheria sp.</v>
      </c>
      <c r="E26" s="231" t="e">
        <f>IF(D26="",,VLOOKUP(D26,D$22:D25,1,0))</f>
        <v>#N/A</v>
      </c>
      <c r="F26" s="232">
        <f t="shared" si="0"/>
        <v>0.0006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4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Vaucheria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6193</v>
      </c>
      <c r="Q26" s="221">
        <f t="shared" si="1"/>
        <v>0.0006</v>
      </c>
      <c r="R26" s="222">
        <f t="shared" si="2"/>
        <v>1</v>
      </c>
      <c r="S26" s="222">
        <f t="shared" si="3"/>
        <v>4</v>
      </c>
      <c r="T26" s="222">
        <f t="shared" si="4"/>
        <v>4</v>
      </c>
      <c r="U26" s="234">
        <f t="shared" si="5"/>
        <v>1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VAUSPX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82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0.0002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Lejeunea sp.</v>
      </c>
      <c r="E27" s="231" t="e">
        <f>IF(D27="",,VLOOKUP(D27,D$22:D26,1,0))</f>
        <v>#N/A</v>
      </c>
      <c r="F27" s="232">
        <f t="shared" si="0"/>
        <v>0.0002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BRh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4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Lejeunea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19831</v>
      </c>
      <c r="Q27" s="221">
        <f t="shared" si="1"/>
        <v>0.0002</v>
      </c>
      <c r="R27" s="222">
        <f t="shared" si="2"/>
        <v>1</v>
      </c>
      <c r="S27" s="222">
        <f t="shared" si="3"/>
        <v>0</v>
      </c>
      <c r="T27" s="222">
        <f t="shared" si="4"/>
        <v>0</v>
      </c>
      <c r="U27" s="234">
        <f t="shared" si="5"/>
        <v>0</v>
      </c>
      <c r="V27" s="223">
        <f t="shared" si="6"/>
      </c>
      <c r="W27" s="235" t="s">
        <v>54</v>
      </c>
      <c r="Y27" s="225" t="str">
        <f>IF(A27="new.cod","NEWCOD",IF(AND((Z27=""),ISTEXT(A27)),A27,IF(Z27="","",INDEX('[1]liste reference'!$A$8:$A$904,Z27))))</f>
        <v>LEJSPX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108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83</v>
      </c>
      <c r="B28" s="229">
        <v>0.0002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Amblystegium riparium</v>
      </c>
      <c r="E28" s="231" t="e">
        <f>IF(D28="",,VLOOKUP(D28,D$22:D27,1,0))</f>
        <v>#N/A</v>
      </c>
      <c r="F28" s="232">
        <f t="shared" si="0"/>
        <v>0.0002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5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Amblystegium riparium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1219</v>
      </c>
      <c r="Q28" s="221">
        <f t="shared" si="1"/>
        <v>0.0002</v>
      </c>
      <c r="R28" s="222">
        <f t="shared" si="2"/>
        <v>1</v>
      </c>
      <c r="S28" s="222">
        <f t="shared" si="3"/>
        <v>5</v>
      </c>
      <c r="T28" s="222">
        <f t="shared" si="4"/>
        <v>10</v>
      </c>
      <c r="U28" s="234">
        <f t="shared" si="5"/>
        <v>2</v>
      </c>
      <c r="V28" s="223">
        <f t="shared" si="6"/>
      </c>
      <c r="W28" s="224" t="s">
        <v>54</v>
      </c>
      <c r="Y28" s="225" t="str">
        <f>IF(A28="new.cod","NEWCOD",IF(AND((Z28=""),ISTEXT(A28)),A28,IF(Z28="","",INDEX('[1]liste reference'!$A$8:$A$904,Z28))))</f>
        <v>AMBRIP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148</v>
      </c>
      <c r="AA28" s="226"/>
      <c r="AB28" s="227"/>
      <c r="AC28" s="227"/>
      <c r="BB28" s="8">
        <f t="shared" si="7"/>
        <v>1</v>
      </c>
    </row>
    <row r="29" spans="1:54" ht="12.75">
      <c r="A29" s="228" t="s">
        <v>16</v>
      </c>
      <c r="B29" s="229">
        <v>0.0002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Cinclidotus aquaticus</v>
      </c>
      <c r="E29" s="231" t="e">
        <f>IF(D29="",,VLOOKUP(D29,D$22:D28,1,0))</f>
        <v>#N/A</v>
      </c>
      <c r="F29" s="232">
        <f t="shared" si="0"/>
        <v>0.0002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15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Cinclidotus aquaticus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1318</v>
      </c>
      <c r="Q29" s="221">
        <f t="shared" si="1"/>
        <v>0.0002</v>
      </c>
      <c r="R29" s="222">
        <f t="shared" si="2"/>
        <v>1</v>
      </c>
      <c r="S29" s="222">
        <f t="shared" si="3"/>
        <v>15</v>
      </c>
      <c r="T29" s="222">
        <f t="shared" si="4"/>
        <v>30</v>
      </c>
      <c r="U29" s="234">
        <f t="shared" si="5"/>
        <v>2</v>
      </c>
      <c r="V29" s="223">
        <f t="shared" si="6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CINAQU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170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0.0002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Orthotrichum rivulare</v>
      </c>
      <c r="E30" s="231" t="e">
        <f>IF(D30="",,VLOOKUP(D30,D$22:D29,1,0))</f>
        <v>#N/A</v>
      </c>
      <c r="F30" s="232">
        <f t="shared" si="0"/>
        <v>0.0002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15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3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Orthotrichum rivulare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1352</v>
      </c>
      <c r="Q30" s="221">
        <f t="shared" si="1"/>
        <v>0.0002</v>
      </c>
      <c r="R30" s="222">
        <f t="shared" si="2"/>
        <v>1</v>
      </c>
      <c r="S30" s="222">
        <f t="shared" si="3"/>
        <v>15</v>
      </c>
      <c r="T30" s="222">
        <f t="shared" si="4"/>
        <v>45</v>
      </c>
      <c r="U30" s="234">
        <f t="shared" si="5"/>
        <v>3</v>
      </c>
      <c r="V30" s="223">
        <f t="shared" si="6"/>
      </c>
      <c r="W30" s="224" t="s">
        <v>54</v>
      </c>
      <c r="Y30" s="225" t="str">
        <f>IF(A30="new.cod","NEWCOD",IF(AND((Z30=""),ISTEXT(A30)),A30,IF(Z30="","",INDEX('[1]liste reference'!$A$8:$A$904,Z30))))</f>
        <v>ORTRIV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229</v>
      </c>
      <c r="AA30" s="226"/>
      <c r="AB30" s="227"/>
      <c r="AC30" s="227"/>
      <c r="BB30" s="8">
        <f t="shared" si="7"/>
        <v>1</v>
      </c>
    </row>
    <row r="31" spans="1:54" ht="12.75">
      <c r="A31" s="228" t="s">
        <v>54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54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ISERE</v>
      </c>
      <c r="B84" s="265" t="str">
        <f>C3</f>
        <v>ISERE A TULLINS</v>
      </c>
      <c r="C84" s="266">
        <f>A4</f>
        <v>41907</v>
      </c>
      <c r="D84" s="267">
        <f>IF(ISERROR(SUM($T$23:$T$82)/SUM($U$23:$U$82)),"",SUM($T$23:$T$82)/SUM($U$23:$U$82))</f>
        <v>10.23076923076923</v>
      </c>
      <c r="E84" s="268">
        <f>N13</f>
        <v>8</v>
      </c>
      <c r="F84" s="265">
        <f>N14</f>
        <v>7</v>
      </c>
      <c r="G84" s="265">
        <f>N15</f>
        <v>2</v>
      </c>
      <c r="H84" s="265">
        <f>N16</f>
        <v>4</v>
      </c>
      <c r="I84" s="265">
        <f>N17</f>
        <v>1</v>
      </c>
      <c r="J84" s="269">
        <f>N8</f>
        <v>9.142857142857142</v>
      </c>
      <c r="K84" s="267">
        <f>N9</f>
        <v>4.580348440537542</v>
      </c>
      <c r="L84" s="268">
        <f>N10</f>
        <v>4</v>
      </c>
      <c r="M84" s="268">
        <f>N11</f>
        <v>15</v>
      </c>
      <c r="N84" s="267">
        <f>O8</f>
        <v>1.8571428571428572</v>
      </c>
      <c r="O84" s="267">
        <f>O9</f>
        <v>0.6388765649999399</v>
      </c>
      <c r="P84" s="268">
        <f>O10</f>
        <v>1</v>
      </c>
      <c r="Q84" s="268">
        <f>O11</f>
        <v>3</v>
      </c>
      <c r="R84" s="268">
        <f>F21</f>
        <v>0.0020000000000000005</v>
      </c>
      <c r="S84" s="268">
        <f>K11</f>
        <v>0</v>
      </c>
      <c r="T84" s="268">
        <f>K12</f>
        <v>4</v>
      </c>
      <c r="U84" s="268">
        <f>K13</f>
        <v>4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86</v>
      </c>
      <c r="R86" s="8"/>
      <c r="S86" s="223"/>
      <c r="T86" s="8"/>
      <c r="U86" s="8"/>
      <c r="V86" s="8"/>
    </row>
    <row r="87" spans="16:22" ht="12.75" hidden="1">
      <c r="P87" s="8"/>
      <c r="Q87" s="8" t="s">
        <v>87</v>
      </c>
      <c r="R87" s="8"/>
      <c r="S87" s="223">
        <f>VLOOKUP(MAX($S$23:$S$82),($S$23:$U$82),1,0)</f>
        <v>15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3">
        <f>VLOOKUP((S87),($S$23:$U$82),2,0)</f>
        <v>30</v>
      </c>
      <c r="T88" s="8"/>
      <c r="U88" s="8"/>
      <c r="V88" s="8"/>
    </row>
    <row r="89" spans="17:20" ht="12.75" hidden="1">
      <c r="Q89" s="8" t="s">
        <v>89</v>
      </c>
      <c r="R89" s="8"/>
      <c r="S89" s="223">
        <f>VLOOKUP((S87),($S$23:$U$82),3,0)</f>
        <v>2</v>
      </c>
      <c r="T89" s="8"/>
    </row>
    <row r="90" spans="17:20" ht="12.75">
      <c r="Q90" s="8" t="s">
        <v>90</v>
      </c>
      <c r="R90" s="8"/>
      <c r="S90" s="274">
        <f>IF(ISERROR(SUM($T$23:$T$82)/SUM($U$23:$U$82)),"",(SUM($T$23:$T$82)-S88)/(SUM($U$23:$U$82)-S89))</f>
        <v>9.363636363636363</v>
      </c>
      <c r="T90" s="8"/>
    </row>
    <row r="91" spans="17:21" ht="12.75">
      <c r="Q91" s="222" t="s">
        <v>91</v>
      </c>
      <c r="R91" s="222"/>
      <c r="S91" s="222" t="str">
        <f>INDEX('[1]liste reference'!$A$8:$A$904,$T$91)</f>
        <v>CINAQU</v>
      </c>
      <c r="T91" s="8">
        <f>IF(ISERROR(MATCH($S$93,'[1]liste reference'!$A$8:$A$904,0)),MATCH($S$93,'[1]liste reference'!$B$8:$B$904,0),(MATCH($S$93,'[1]liste reference'!$A$8:$A$904,0)))</f>
        <v>170</v>
      </c>
      <c r="U91" s="263"/>
    </row>
    <row r="92" spans="17:20" ht="12.75">
      <c r="Q92" s="8" t="s">
        <v>92</v>
      </c>
      <c r="R92" s="8"/>
      <c r="S92" s="8">
        <f>MATCH(S87,$S$23:$S$82,0)</f>
        <v>7</v>
      </c>
      <c r="T92" s="8"/>
    </row>
    <row r="93" spans="17:20" ht="12.75">
      <c r="Q93" s="222" t="s">
        <v>93</v>
      </c>
      <c r="R93" s="8"/>
      <c r="S93" s="222" t="str">
        <f>INDEX($A$23:$A$82,$S$92)</f>
        <v>CINAQU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2015-06-01T15:54:50Z</dcterms:created>
  <dcterms:modified xsi:type="dcterms:W3CDTF">2015-06-01T15:54:58Z</dcterms:modified>
  <cp:category/>
  <cp:version/>
  <cp:contentType/>
  <cp:contentStatus/>
</cp:coreProperties>
</file>