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<sst xmlns="http://schemas.openxmlformats.org/spreadsheetml/2006/main" count="217" uniqueCount="88">
  <si>
    <t>Relevés floristiques aquatiques - IBMR</t>
  </si>
  <si>
    <t xml:space="preserve">Formulaire modèle GIS Macrophytes v 3.3 - novembre 2013  </t>
  </si>
  <si>
    <t>SAGE ENVIRONNEMENT</t>
  </si>
  <si>
    <t>LISEBE MGAUTHIER</t>
  </si>
  <si>
    <t>conforme AFNOR T90-395 oct. 2003</t>
  </si>
  <si>
    <t>FURE</t>
  </si>
  <si>
    <t>FURE A TULLINS</t>
  </si>
  <si>
    <t>06147140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</si>
  <si>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</si>
  <si>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</si>
  <si>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</si>
  <si>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</si>
  <si>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</si>
  <si>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</si>
  <si>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</si>
  <si>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</si>
  <si>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</si>
  <si>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</si>
  <si>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chenal lotique</t>
  </si>
  <si>
    <t>pl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</si>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</sst>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FUTUL_07-07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41" sqref="L4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41827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</v>
      </c>
      <c r="M5" s="52"/>
      <c r="N5" s="53" t="s">
        <v>16</v>
      </c>
      <c r="O5" s="54">
        <v>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</v>
      </c>
      <c r="O8" s="84">
        <f>IF(ISERROR(AVERAGE(J23:J82)),"      -",AVERAGE(J23:J82))</f>
        <v>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0.01</v>
      </c>
      <c r="C9" s="87">
        <v>0.01</v>
      </c>
      <c r="D9" s="88"/>
      <c r="E9" s="88"/>
      <c r="F9" s="89">
        <f>($B9*$B$7+$C9*$C$7)/100</f>
        <v>0.01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</v>
      </c>
      <c r="O9" s="84">
        <f>IF(ISERROR(STDEVP(J23:J82)),"      -",STDEVP(J23:J82))</f>
        <v>0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6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10</v>
      </c>
      <c r="O11" s="106">
        <f>MAX(J23:J82)</f>
        <v>1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0.01</v>
      </c>
      <c r="C12" s="120"/>
      <c r="D12" s="111"/>
      <c r="E12" s="111"/>
      <c r="F12" s="112">
        <f>($B12*$B$7+$C12*$C$7)/100</f>
        <v>0.009500000000000001</v>
      </c>
      <c r="G12" s="121"/>
      <c r="H12" s="67"/>
      <c r="I12" s="122" t="s">
        <v>38</v>
      </c>
      <c r="J12" s="123"/>
      <c r="K12" s="116">
        <f>COUNTIF($G$23:$G$82,"=ALG")</f>
        <v>1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/>
      <c r="D13" s="111"/>
      <c r="E13" s="111"/>
      <c r="F13" s="112">
        <f>($B13*$B$7+$C13*$C$7)/100</f>
        <v>0</v>
      </c>
      <c r="G13" s="121"/>
      <c r="H13" s="67"/>
      <c r="I13" s="129" t="s">
        <v>40</v>
      </c>
      <c r="J13" s="123"/>
      <c r="K13" s="116">
        <f>COUNTIF($G$23:$G$82,"=BRm")+COUNTIF($G$23:$G$82,"=BRh")</f>
        <v>0</v>
      </c>
      <c r="L13" s="117"/>
      <c r="M13" s="130" t="s">
        <v>41</v>
      </c>
      <c r="N13" s="131">
        <f>COUNTIF(F23:F82,"&gt;0")</f>
        <v>2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2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0.01</v>
      </c>
      <c r="D15" s="111"/>
      <c r="E15" s="111"/>
      <c r="F15" s="112">
        <f>($B15*$B$7+$C15*$C$7)/100</f>
        <v>0.0005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0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0.01</v>
      </c>
      <c r="C17" s="120"/>
      <c r="D17" s="111"/>
      <c r="E17" s="111"/>
      <c r="F17" s="147"/>
      <c r="G17" s="112">
        <f>($B17*$B$7+$C17*$C$7)/100</f>
        <v>0.009500000000000001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1"/>
      <c r="E18" s="152" t="s">
        <v>53</v>
      </c>
      <c r="F18" s="147"/>
      <c r="G18" s="112">
        <f>($B18*$B$7+$C18*$C$7)/100</f>
        <v>0.0005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0.010000000000000002</v>
      </c>
      <c r="G19" s="161">
        <f>SUM(G16:G18)</f>
        <v>0.010000000000000002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0.01</v>
      </c>
      <c r="C20" s="171">
        <f>SUM(C23:C82)</f>
        <v>0.01</v>
      </c>
      <c r="D20" s="172"/>
      <c r="E20" s="173" t="s">
        <v>53</v>
      </c>
      <c r="F20" s="174">
        <f>($B20*$B$7+$C20*$C$7)/100</f>
        <v>0.01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0.009500000000000001</v>
      </c>
      <c r="C21" s="184">
        <f>C20*C7/100</f>
        <v>0.0005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0.010000000000000002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0.009500000000000001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0.009500000000000001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16</v>
      </c>
      <c r="B24" s="229">
        <v>0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Phalaris arundinacea</v>
      </c>
      <c r="E24" s="231" t="e">
        <f>IF(D24="",,VLOOKUP(D24,D$22:D23,1,0))</f>
        <v>#N/A</v>
      </c>
      <c r="F24" s="232">
        <f t="shared" si="0"/>
        <v>0.0005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PHe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8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Phalaris arundinacea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1577</v>
      </c>
      <c r="Q24" s="221">
        <f t="shared" si="1"/>
        <v>0.0005</v>
      </c>
      <c r="R24" s="222">
        <f t="shared" si="2"/>
        <v>1</v>
      </c>
      <c r="S24" s="222">
        <f t="shared" si="3"/>
        <v>10</v>
      </c>
      <c r="T24" s="222">
        <f t="shared" si="4"/>
        <v>10</v>
      </c>
      <c r="U24" s="234">
        <f t="shared" si="5"/>
        <v>1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PHAARU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634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54</v>
      </c>
      <c r="B25" s="229"/>
      <c r="C25" s="230"/>
      <c r="D25" s="213">
        <f>IF(ISERROR(VLOOKUP($A25,'[1]liste reference'!$A$7:$D$904,2,0)),IF(ISERROR(VLOOKUP($A25,'[1]liste reference'!$B$7:$D$904,1,0)),"",VLOOKUP($A25,'[1]liste reference'!$B$7:$D$904,1,0)),VLOOKUP($A25,'[1]liste reference'!$A$7:$D$904,2,0))</f>
      </c>
      <c r="E25" s="231">
        <f>IF(D25="",,VLOOKUP(D25,D$22:D24,1,0))</f>
        <v>0</v>
      </c>
      <c r="F25" s="232">
        <f t="shared" si="0"/>
        <v>0</v>
      </c>
      <c r="G25" s="215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</c>
      <c r="H25" s="216" t="str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x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8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</c>
      <c r="Q25" s="221">
        <f t="shared" si="1"/>
      </c>
      <c r="R25" s="222">
        <f t="shared" si="2"/>
      </c>
      <c r="S25" s="222">
        <f t="shared" si="3"/>
        <v>0</v>
      </c>
      <c r="T25" s="222">
        <f t="shared" si="4"/>
        <v>0</v>
      </c>
      <c r="U25" s="234">
        <f t="shared" si="5"/>
        <v>0</v>
      </c>
      <c r="V25" s="223">
        <f t="shared" si="6"/>
      </c>
      <c r="W25" s="224" t="s">
        <v>54</v>
      </c>
      <c r="Y25" s="225">
        <f>IF(A25="new.cod","NEWCOD",IF(AND((Z25=""),ISTEXT(A25)),A25,IF(Z25="","",INDEX('[1]liste reference'!$A$8:$A$904,Z25))))</f>
      </c>
      <c r="Z25" s="8">
        <f>IF(ISERROR(MATCH(A25,'[1]liste reference'!$A$8:$A$904,0)),IF(ISERROR(MATCH(A25,'[1]liste reference'!$B$8:$B$904,0)),"",(MATCH(A25,'[1]liste reference'!$B$8:$B$904,0))),(MATCH(A25,'[1]liste reference'!$A$8:$A$904,0)))</f>
      </c>
      <c r="AA25" s="226"/>
      <c r="AB25" s="227"/>
      <c r="AC25" s="227"/>
      <c r="BB25" s="8">
        <f t="shared" si="7"/>
      </c>
    </row>
    <row r="26" spans="1:54" ht="12.75">
      <c r="A26" s="228" t="s">
        <v>54</v>
      </c>
      <c r="B26" s="229"/>
      <c r="C26" s="230"/>
      <c r="D26" s="213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31">
        <f>IF(D26="",,VLOOKUP(D26,D$22:D25,1,0))</f>
        <v>0</v>
      </c>
      <c r="F26" s="232">
        <f t="shared" si="0"/>
        <v>0</v>
      </c>
      <c r="G26" s="215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16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21">
        <f t="shared" si="1"/>
      </c>
      <c r="R26" s="222">
        <f t="shared" si="2"/>
      </c>
      <c r="S26" s="222">
        <f t="shared" si="3"/>
        <v>0</v>
      </c>
      <c r="T26" s="222">
        <f t="shared" si="4"/>
        <v>0</v>
      </c>
      <c r="U26" s="234">
        <f t="shared" si="5"/>
        <v>0</v>
      </c>
      <c r="V26" s="223">
        <f t="shared" si="6"/>
      </c>
      <c r="W26" s="224" t="s">
        <v>54</v>
      </c>
      <c r="Y26" s="225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26"/>
      <c r="AB26" s="227"/>
      <c r="AC26" s="227"/>
      <c r="BB26" s="8">
        <f t="shared" si="7"/>
      </c>
    </row>
    <row r="27" spans="1:54" ht="12.75">
      <c r="A27" s="228" t="s">
        <v>54</v>
      </c>
      <c r="B27" s="229"/>
      <c r="C27" s="230"/>
      <c r="D27" s="21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31">
        <f>IF(D27="",,VLOOKUP(D27,D$22:D26,1,0))</f>
        <v>0</v>
      </c>
      <c r="F27" s="232">
        <f t="shared" si="0"/>
        <v>0</v>
      </c>
      <c r="G27" s="215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1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21">
        <f t="shared" si="1"/>
      </c>
      <c r="R27" s="222">
        <f t="shared" si="2"/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54</v>
      </c>
      <c r="Y27" s="225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26"/>
      <c r="AB27" s="227"/>
      <c r="AC27" s="227"/>
      <c r="BB27" s="8">
        <f t="shared" si="7"/>
      </c>
    </row>
    <row r="28" spans="1:54" ht="12.75">
      <c r="A28" s="228" t="s">
        <v>54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54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7"/>
      </c>
    </row>
    <row r="29" spans="1:54" ht="12.75">
      <c r="A29" s="228" t="s">
        <v>54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54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7"/>
      </c>
    </row>
    <row r="30" spans="1:54" ht="12.75">
      <c r="A30" s="228" t="s">
        <v>54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54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79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FURE</v>
      </c>
      <c r="B84" s="265" t="str">
        <f>C3</f>
        <v>FURE A TULLINS</v>
      </c>
      <c r="C84" s="266">
        <f>A4</f>
        <v>41827</v>
      </c>
      <c r="D84" s="267">
        <f>IF(ISERROR(SUM($T$23:$T$82)/SUM($U$23:$U$82)),"",SUM($T$23:$T$82)/SUM($U$23:$U$82))</f>
        <v>8</v>
      </c>
      <c r="E84" s="268">
        <f>N13</f>
        <v>2</v>
      </c>
      <c r="F84" s="265">
        <f>N14</f>
        <v>2</v>
      </c>
      <c r="G84" s="265">
        <f>N15</f>
        <v>2</v>
      </c>
      <c r="H84" s="265">
        <f>N16</f>
        <v>0</v>
      </c>
      <c r="I84" s="265">
        <f>N17</f>
        <v>0</v>
      </c>
      <c r="J84" s="269">
        <f>N8</f>
        <v>8</v>
      </c>
      <c r="K84" s="267">
        <f>N9</f>
        <v>2</v>
      </c>
      <c r="L84" s="268">
        <f>N10</f>
        <v>6</v>
      </c>
      <c r="M84" s="268">
        <f>N11</f>
        <v>10</v>
      </c>
      <c r="N84" s="267">
        <f>O8</f>
        <v>1</v>
      </c>
      <c r="O84" s="267">
        <f>O9</f>
        <v>0</v>
      </c>
      <c r="P84" s="268">
        <f>O10</f>
        <v>1</v>
      </c>
      <c r="Q84" s="268">
        <f>O11</f>
        <v>1</v>
      </c>
      <c r="R84" s="268">
        <f>F21</f>
        <v>0.010000000000000002</v>
      </c>
      <c r="S84" s="268">
        <f>K11</f>
        <v>0</v>
      </c>
      <c r="T84" s="268">
        <f>K12</f>
        <v>1</v>
      </c>
      <c r="U84" s="268">
        <f>K13</f>
        <v>0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80</v>
      </c>
      <c r="R86" s="8"/>
      <c r="S86" s="223"/>
      <c r="T86" s="8"/>
      <c r="U86" s="8"/>
      <c r="V86" s="8"/>
    </row>
    <row r="87" spans="16:22" ht="12.75" hidden="1">
      <c r="P87" s="8"/>
      <c r="Q87" s="8" t="s">
        <v>81</v>
      </c>
      <c r="R87" s="8"/>
      <c r="S87" s="223">
        <f>VLOOKUP(MAX($S$23:$S$82),($S$23:$U$82),1,0)</f>
        <v>10</v>
      </c>
      <c r="T87" s="8"/>
      <c r="U87" s="8"/>
      <c r="V87" s="8"/>
    </row>
    <row r="88" spans="16:22" ht="12.75" hidden="1">
      <c r="P88" s="8"/>
      <c r="Q88" s="8" t="s">
        <v>82</v>
      </c>
      <c r="R88" s="8"/>
      <c r="S88" s="223">
        <f>VLOOKUP((S87),($S$23:$U$82),2,0)</f>
        <v>10</v>
      </c>
      <c r="T88" s="8"/>
      <c r="U88" s="8"/>
      <c r="V88" s="8"/>
    </row>
    <row r="89" spans="17:20" ht="12.75" hidden="1">
      <c r="Q89" s="8" t="s">
        <v>83</v>
      </c>
      <c r="R89" s="8"/>
      <c r="S89" s="223">
        <f>VLOOKUP((S87),($S$23:$U$82),3,0)</f>
        <v>1</v>
      </c>
      <c r="T89" s="8"/>
    </row>
    <row r="90" spans="17:20" ht="12.75">
      <c r="Q90" s="8" t="s">
        <v>84</v>
      </c>
      <c r="R90" s="8"/>
      <c r="S90" s="274">
        <f>IF(ISERROR(SUM($T$23:$T$82)/SUM($U$23:$U$82)),"",(SUM($T$23:$T$82)-S88)/(SUM($U$23:$U$82)-S89))</f>
        <v>6</v>
      </c>
      <c r="T90" s="8"/>
    </row>
    <row r="91" spans="17:21" ht="12.75">
      <c r="Q91" s="222" t="s">
        <v>85</v>
      </c>
      <c r="R91" s="222"/>
      <c r="S91" s="222" t="str">
        <f>INDEX('[1]liste reference'!$A$8:$A$904,$T$91)</f>
        <v>PHAARU</v>
      </c>
      <c r="T91" s="8">
        <f>IF(ISERROR(MATCH($S$93,'[1]liste reference'!$A$8:$A$904,0)),MATCH($S$93,'[1]liste reference'!$B$8:$B$904,0),(MATCH($S$93,'[1]liste reference'!$A$8:$A$904,0)))</f>
        <v>634</v>
      </c>
      <c r="U91" s="263"/>
    </row>
    <row r="92" spans="17:20" ht="12.75">
      <c r="Q92" s="8" t="s">
        <v>86</v>
      </c>
      <c r="R92" s="8"/>
      <c r="S92" s="8">
        <f>MATCH(S87,$S$23:$S$82,0)</f>
        <v>2</v>
      </c>
      <c r="T92" s="8"/>
    </row>
    <row r="93" spans="17:20" ht="12.75">
      <c r="Q93" s="222" t="s">
        <v>87</v>
      </c>
      <c r="R93" s="8"/>
      <c r="S93" s="222" t="str">
        <f>INDEX($A$23:$A$82,$S$92)</f>
        <v>PHAARU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2015-03-17T10:29:15Z</dcterms:created>
  <dcterms:modified xsi:type="dcterms:W3CDTF">2015-03-17T10:29:21Z</dcterms:modified>
  <cp:category/>
  <cp:version/>
  <cp:contentType/>
  <cp:contentStatus/>
</cp:coreProperties>
</file>