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<sst xmlns="http://schemas.openxmlformats.org/spreadsheetml/2006/main" count="95" uniqueCount="91">
  <si>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</si>
  <si>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Formulaire modèle GIS Macrophytes v 3.1.1 - janvier 2013  </t>
  </si>
  <si>
    <t xml:space="preserve">SAGE ENVIRONNEMENT</t>
  </si>
  <si>
    <t xml:space="preserve">L ISEBE L BOURGOIN</t>
  </si>
  <si>
    <t xml:space="preserve">conforme AFNOR T90-395 oct. 2003</t>
  </si>
  <si>
    <t xml:space="preserve">DREVENNE</t>
  </si>
  <si>
    <t xml:space="preserve">DREVENNE A ROVON</t>
  </si>
  <si>
    <t xml:space="preserve">06147220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</si>
  <si>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</si>
  <si>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</si>
  <si>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</si>
  <si>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</si>
  <si>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</si>
  <si>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</si>
  <si>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</si>
  <si>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</si>
  <si>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</si>
  <si>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</si>
  <si>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rapide</t>
  </si>
  <si>
    <t xml:space="preserve">mouille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</si>
  <si>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</si>
  <si>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</si>
  <si>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</si>
  <si>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</si>
  <si>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</si>
  <si>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</si>
  <si>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</si>
  <si>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</si>
  <si>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</si>
  <si>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</si>
  <si>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</si>
  <si>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</si>
  <si>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</si>
  <si>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</si>
  <si>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</si>
  <si>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</si>
  <si>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</si>
  <si>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</si>
  <si>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</si>
  <si>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</si>
  <si>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</si>
  <si>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</si>
  <si>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</si>
  <si>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</si>
  <si>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</si>
  <si>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</si>
  <si>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</si>
  <si>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</si>
  <si>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</si>
  <si>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</si>
  <si>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</si>
  <si>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</si>
  <si>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</si>
  <si>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</si>
  <si>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</si>
  <si>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</si>
  <si>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</si>
  <si>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</si>
  <si>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</si>
  <si>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</si>
  <si>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</si>
  <si>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</si>
  <si>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</si>
  <si>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</si>
  <si>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</si>
  <si>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</si>
  <si>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</si>
  <si>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</si>
  <si>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</si>
  <si>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</si>
  <si>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</si>
  <si>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</si>
  <si>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</si>
  <si>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</si>
  <si>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</si>
  <si>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</si>
  <si>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</si>
  <si>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</si>
  <si>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NOSSPX</t>
  </si>
  <si>
    <t xml:space="preserve">FISCRA</t>
  </si>
  <si>
    <t xml:space="preserve">FONANT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</si>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</sst>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2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26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26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9" fillId="4" borderId="10" xfId="5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9" fillId="20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50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51" fillId="8" borderId="10" xfId="5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50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50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5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9720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DRERO_19-11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10.875</v>
      </c>
      <c r="M5" s="53"/>
      <c r="N5" s="54" t="s">
        <v>16</v>
      </c>
      <c r="O5" s="55" t="n">
        <v>10.1666666666667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90</v>
      </c>
      <c r="C7" s="67" t="n">
        <v>10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10.3333333333333</v>
      </c>
      <c r="O8" s="84" t="n">
        <f aca="false">IF(ISERROR(AVERAGE(J23:J82)),"      -",AVERAGE(J23:J82))</f>
        <v>1.33333333333333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0.04</v>
      </c>
      <c r="C9" s="87" t="n">
        <v>0.06</v>
      </c>
      <c r="D9" s="88"/>
      <c r="E9" s="88"/>
      <c r="F9" s="89" t="n">
        <f aca="false">($B9*$B$7+$C9*$C$7)/100</f>
        <v>0.042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2.35702260395516</v>
      </c>
      <c r="O9" s="84" t="n">
        <f aca="false">IF(ISERROR(STDEVP(J23:J82)),"      -",STDEVP(J23:J82))</f>
        <v>0.471404520791032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6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0.01</v>
      </c>
      <c r="C12" s="119" t="n">
        <v>0.02</v>
      </c>
      <c r="D12" s="111"/>
      <c r="E12" s="111"/>
      <c r="F12" s="112" t="n">
        <f aca="false">($B12*$B$7+$C12*$C$7)/100</f>
        <v>0.011</v>
      </c>
      <c r="G12" s="120"/>
      <c r="H12" s="68"/>
      <c r="I12" s="121" t="s">
        <v>38</v>
      </c>
      <c r="J12" s="121"/>
      <c r="K12" s="115" t="n">
        <f aca="false">COUNTIF($G$23:$G$82,"=ALG")</f>
        <v>3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 t="n">
        <v>0.03</v>
      </c>
      <c r="C13" s="119" t="n">
        <v>0.04</v>
      </c>
      <c r="D13" s="111"/>
      <c r="E13" s="111"/>
      <c r="F13" s="112" t="n">
        <f aca="false">($B13*$B$7+$C13*$C$7)/100</f>
        <v>0.031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3</v>
      </c>
      <c r="L13" s="116"/>
      <c r="M13" s="127" t="s">
        <v>41</v>
      </c>
      <c r="N13" s="128" t="n">
        <f aca="false">COUNTIF(F23:F82,"&gt;0")</f>
        <v>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47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0.04</v>
      </c>
      <c r="C17" s="119" t="n">
        <v>0.06</v>
      </c>
      <c r="D17" s="111"/>
      <c r="E17" s="111"/>
      <c r="F17" s="143"/>
      <c r="G17" s="112" t="n">
        <f aca="false">($B17*$B$7+$C17*$C$7)/100</f>
        <v>0.042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/>
      <c r="D18" s="111"/>
      <c r="E18" s="147" t="s">
        <v>53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0.042</v>
      </c>
      <c r="G19" s="156" t="n">
        <f aca="false">SUM(G16:G18)</f>
        <v>0.042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0.04</v>
      </c>
      <c r="C20" s="166" t="n">
        <f aca="false">SUM(C23:C82)</f>
        <v>0.06</v>
      </c>
      <c r="D20" s="167"/>
      <c r="E20" s="168" t="s">
        <v>53</v>
      </c>
      <c r="F20" s="169" t="n">
        <f aca="false">($B20*$B$7+$C20*$C$7)/100</f>
        <v>0.042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0.036</v>
      </c>
      <c r="C21" s="179" t="n">
        <f aca="false">C20*C7/100</f>
        <v>0.006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0.042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5" hidden="false" customHeight="false" outlineLevel="0" collapsed="false">
      <c r="A23" s="204" t="s">
        <v>77</v>
      </c>
      <c r="B23" s="205" t="n">
        <v>0</v>
      </c>
      <c r="C23" s="205" t="n">
        <v>0.01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6" t="e">
        <f aca="false">IF(D23="",0,VLOOKUP(D23,D$22:D22,1,0))</f>
        <v>#N/A</v>
      </c>
      <c r="F23" s="207" t="n">
        <f aca="false">($B23*$B$7+$C23*$C$7)/100</f>
        <v>0.001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5" t="n">
        <f aca="false">IF(ISTEXT(H23),"",(B23*$B$7/100)+(C23*$C$7/100))</f>
        <v>0.001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6</v>
      </c>
      <c r="T23" s="216" t="n">
        <f aca="false">IF(ISERROR(R23*I23*J23),0,R23*I23*J23)</f>
        <v>6</v>
      </c>
      <c r="U23" s="216" t="n">
        <f aca="false">IF(ISERROR(R23*J23),0,R23*J23)</f>
        <v>1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0"/>
      <c r="AB23" s="221"/>
      <c r="AC23" s="221"/>
      <c r="BB23" s="10" t="n">
        <f aca="false">IF(A23="","",1)</f>
        <v>1</v>
      </c>
    </row>
    <row r="24" customFormat="false" ht="15" hidden="false" customHeight="false" outlineLevel="0" collapsed="false">
      <c r="A24" s="204" t="s">
        <v>78</v>
      </c>
      <c r="B24" s="205" t="n">
        <v>0</v>
      </c>
      <c r="C24" s="205" t="n">
        <v>0.01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Nostoc sp.</v>
      </c>
      <c r="E24" s="222" t="e">
        <f aca="false">IF(D24="",0,VLOOKUP(D24,D$22:D23,1,0))</f>
        <v>#N/A</v>
      </c>
      <c r="F24" s="223" t="n">
        <f aca="false">($B24*$B$7+$C24*$C$7)/100</f>
        <v>0.001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9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Nostoc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1105</v>
      </c>
      <c r="Q24" s="215" t="n">
        <f aca="false">IF(ISTEXT(H24),"",(B24*$B$7/100)+(C24*$C$7/100))</f>
        <v>0.001</v>
      </c>
      <c r="R24" s="216" t="n">
        <f aca="false">IF(OR(ISTEXT(H24),Q24=0),"",IF(Q24&lt;0.1,1,IF(Q24&lt;1,2,IF(Q24&lt;10,3,IF(Q24&lt;50,4,IF(Q24&gt;=50,5,""))))))</f>
        <v>1</v>
      </c>
      <c r="S24" s="216" t="n">
        <f aca="false">IF(ISERROR(R24*I24),0,R24*I24)</f>
        <v>9</v>
      </c>
      <c r="T24" s="216" t="n">
        <f aca="false">IF(ISERROR(R24*I24*J24),0,R24*I24*J24)</f>
        <v>9</v>
      </c>
      <c r="U24" s="225" t="n">
        <f aca="false">IF(ISERROR(R24*J24),0,R24*J24)</f>
        <v>1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NOSSPX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54</v>
      </c>
      <c r="AA24" s="220"/>
      <c r="AB24" s="221"/>
      <c r="AC24" s="221"/>
      <c r="BB24" s="10" t="n">
        <f aca="false">IF(A24="","",1)</f>
        <v>1</v>
      </c>
    </row>
    <row r="25" customFormat="false" ht="15" hidden="false" customHeight="false" outlineLevel="0" collapsed="false">
      <c r="A25" s="204" t="s">
        <v>16</v>
      </c>
      <c r="B25" s="205" t="n">
        <v>0.01</v>
      </c>
      <c r="C25" s="205" t="n">
        <v>0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2" t="e">
        <f aca="false">IF(D25="",0,VLOOKUP(D25,D$22:D24,1,0))</f>
        <v>#N/A</v>
      </c>
      <c r="F25" s="223" t="n">
        <f aca="false">($B25*$B$7+$C25*$C$7)/100</f>
        <v>0.009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5" t="n">
        <f aca="false">IF(ISTEXT(H25),"",(B25*$B$7/100)+(C25*$C$7/100))</f>
        <v>0.009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13</v>
      </c>
      <c r="T25" s="216" t="n">
        <f aca="false">IF(ISERROR(R25*I25*J25),0,R25*I25*J25)</f>
        <v>26</v>
      </c>
      <c r="U25" s="225" t="n">
        <f aca="false">IF(ISERROR(R25*J25),0,R25*J25)</f>
        <v>2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0"/>
      <c r="AB25" s="221"/>
      <c r="AC25" s="221"/>
      <c r="BB25" s="10" t="n">
        <f aca="false">IF(A25="","",1)</f>
        <v>1</v>
      </c>
    </row>
    <row r="26" customFormat="false" ht="15" hidden="false" customHeight="false" outlineLevel="0" collapsed="false">
      <c r="A26" s="226" t="s">
        <v>79</v>
      </c>
      <c r="B26" s="205" t="n">
        <v>0.01</v>
      </c>
      <c r="C26" s="205" t="n">
        <v>0.01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Fissidens crassipes</v>
      </c>
      <c r="E26" s="222" t="e">
        <f aca="false">IF(D26="",0,VLOOKUP(D26,D$22:D25,1,0))</f>
        <v>#N/A</v>
      </c>
      <c r="F26" s="223" t="n">
        <f aca="false">($B26*$B$7+$C26*$C$7)/100</f>
        <v>0.01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10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12</v>
      </c>
      <c r="J26" s="210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2</v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Fissidens crassipes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1294</v>
      </c>
      <c r="Q26" s="215" t="n">
        <f aca="false">IF(ISTEXT(H26),"",(B26*$B$7/100)+(C26*$C$7/100))</f>
        <v>0.01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12</v>
      </c>
      <c r="T26" s="216" t="n">
        <f aca="false">IF(ISERROR(R26*I26*J26),0,R26*I26*J26)</f>
        <v>24</v>
      </c>
      <c r="U26" s="225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FISCRA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197</v>
      </c>
      <c r="AA26" s="220"/>
      <c r="AB26" s="221"/>
      <c r="AC26" s="221"/>
      <c r="BB26" s="10" t="n">
        <f aca="false">IF(A26="","",1)</f>
        <v>1</v>
      </c>
    </row>
    <row r="27" customFormat="false" ht="15" hidden="false" customHeight="false" outlineLevel="0" collapsed="false">
      <c r="A27" s="226" t="s">
        <v>80</v>
      </c>
      <c r="B27" s="205" t="n">
        <v>0</v>
      </c>
      <c r="C27" s="205" t="n">
        <v>0.01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Fontinalis antipyretica</v>
      </c>
      <c r="E27" s="222" t="e">
        <f aca="false">IF(D27="",0,VLOOKUP(D27,D$22:D26,1,0))</f>
        <v>#N/A</v>
      </c>
      <c r="F27" s="223" t="n">
        <f aca="false">($B27*$B$7+$C27*$C$7)/100</f>
        <v>0.001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Fontinalis antipyretica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1310</v>
      </c>
      <c r="Q27" s="215" t="n">
        <f aca="false">IF(ISTEXT(H27),"",(B27*$B$7/100)+(C27*$C$7/100))</f>
        <v>0.001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10</v>
      </c>
      <c r="T27" s="216" t="n">
        <f aca="false">IF(ISERROR(R27*I27*J27),0,R27*I27*J27)</f>
        <v>10</v>
      </c>
      <c r="U27" s="225" t="n">
        <f aca="false">IF(ISERROR(R27*J27),0,R27*J27)</f>
        <v>1</v>
      </c>
      <c r="V27" s="217" t="str">
        <f aca="false">IF(AND(A27="",F27=0),"",IF(F27=0,"Il manque le(s) % de rec. !",""))</f>
        <v/>
      </c>
      <c r="W27" s="227"/>
      <c r="Y27" s="219" t="str">
        <f aca="false">IF(A27="new.cod","NEWCOD",IF(AND((Z27=""),ISTEXT(A27)),A27,IF(Z27="","",INDEX('[1]liste reference'!$A$8:$A$904,Z27))))</f>
        <v>FONANT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210</v>
      </c>
      <c r="AA27" s="220"/>
      <c r="AB27" s="221"/>
      <c r="AC27" s="221"/>
      <c r="BB27" s="10" t="n">
        <f aca="false">IF(A27="","",1)</f>
        <v>1</v>
      </c>
    </row>
    <row r="28" customFormat="false" ht="15" hidden="false" customHeight="false" outlineLevel="0" collapsed="false">
      <c r="A28" s="226" t="s">
        <v>81</v>
      </c>
      <c r="B28" s="205" t="n">
        <v>0.02</v>
      </c>
      <c r="C28" s="205" t="n">
        <v>0.02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Rhynchostegium riparioides</v>
      </c>
      <c r="E28" s="222" t="e">
        <f aca="false">IF(D28="",0,VLOOKUP(D28,D$22:D27,1,0))</f>
        <v>#N/A</v>
      </c>
      <c r="F28" s="223" t="n">
        <f aca="false">($B28*$B$7+$C28*$C$7)/100</f>
        <v>0.02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0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10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Rhynchostegium riparioides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1268</v>
      </c>
      <c r="Q28" s="215" t="n">
        <f aca="false">IF(ISTEXT(H28),"",(B28*$B$7/100)+(C28*$C$7/100))</f>
        <v>0.02</v>
      </c>
      <c r="R28" s="216" t="n">
        <f aca="false">IF(OR(ISTEXT(H28),Q28=0),"",IF(Q28&lt;0.1,1,IF(Q28&lt;1,2,IF(Q28&lt;10,3,IF(Q28&lt;50,4,IF(Q28&gt;=50,5,""))))))</f>
        <v>1</v>
      </c>
      <c r="S28" s="216" t="n">
        <f aca="false">IF(ISERROR(R28*I28),0,R28*I28)</f>
        <v>12</v>
      </c>
      <c r="T28" s="216" t="n">
        <f aca="false">IF(ISERROR(R28*I28*J28),0,R28*I28*J28)</f>
        <v>12</v>
      </c>
      <c r="U28" s="225" t="n">
        <f aca="false">IF(ISERROR(R28*J28),0,R28*J28)</f>
        <v>1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RHYRIP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252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8"/>
      <c r="B29" s="229"/>
      <c r="C29" s="230"/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/>
      </c>
      <c r="E29" s="222" t="n">
        <f aca="false">IF(D29="",0,VLOOKUP(D29,D$22:D28,1,0))</f>
        <v>0</v>
      </c>
      <c r="F29" s="223" t="n">
        <f aca="false">($B29*$B$7+$C29*$C$7)/100</f>
        <v>0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/>
      </c>
      <c r="H29" s="209" t="str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x</v>
      </c>
      <c r="I29" s="210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0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/>
      </c>
      <c r="L29" s="224"/>
      <c r="M29" s="224"/>
      <c r="N29" s="224"/>
      <c r="O29" s="213"/>
      <c r="P29" s="214" t="str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5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/>
      </c>
      <c r="Z29" s="10" t="str">
        <f aca="false">IF(ISERROR(MATCH(A29,'[1]liste reference'!$A$8:$A$904,0)),IF(ISERROR(MATCH(A29,'[1]liste reference'!$B$8:$B$904,0)),"",(MATCH(A29,'[1]liste reference'!$B$8:$B$904,0))),(MATCH(A29,'[1]liste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8"/>
      <c r="B30" s="229"/>
      <c r="C30" s="230"/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2" t="n">
        <f aca="false">IF(D30="",0,VLOOKUP(D30,D$22:D29,1,0))</f>
        <v>0</v>
      </c>
      <c r="F30" s="223" t="n">
        <f aca="false">($B30*$B$7+$C30*$C$7)/100</f>
        <v>0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09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4"/>
      <c r="M30" s="224"/>
      <c r="N30" s="224"/>
      <c r="O30" s="213"/>
      <c r="P30" s="214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5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8"/>
      <c r="B31" s="229"/>
      <c r="C31" s="230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2" t="n">
        <f aca="false">IF(D31="",0,VLOOKUP(D31,D$22:D30,1,0))</f>
        <v>0</v>
      </c>
      <c r="F31" s="223" t="n">
        <f aca="false">($B31*$B$7+$C31*$C$7)/100</f>
        <v>0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9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0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4"/>
      <c r="M31" s="224"/>
      <c r="N31" s="224"/>
      <c r="O31" s="213"/>
      <c r="P31" s="214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5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8"/>
      <c r="B32" s="229"/>
      <c r="C32" s="230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2" t="n">
        <f aca="false">IF(D32="",0,VLOOKUP(D32,D$22:D31,1,0))</f>
        <v>0</v>
      </c>
      <c r="F32" s="223" t="n">
        <f aca="false">($B32*$B$7+$C32*$C$7)/100</f>
        <v>0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9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4"/>
      <c r="M32" s="224"/>
      <c r="N32" s="224"/>
      <c r="O32" s="213"/>
      <c r="P32" s="214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5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8"/>
      <c r="B33" s="229"/>
      <c r="C33" s="230"/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2" t="n">
        <f aca="false">IF(D33="",0,VLOOKUP(D33,D$22:D32,1,0))</f>
        <v>0</v>
      </c>
      <c r="F33" s="223" t="n">
        <f aca="false">($B33*$B$7+$C33*$C$7)/100</f>
        <v>0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9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0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4"/>
      <c r="M33" s="224"/>
      <c r="N33" s="224"/>
      <c r="O33" s="213"/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5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8"/>
      <c r="B34" s="229"/>
      <c r="C34" s="230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2" t="n">
        <f aca="false">IF(D34="",0,VLOOKUP(D34,D$22:D33,1,0))</f>
        <v>0</v>
      </c>
      <c r="F34" s="231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4"/>
      <c r="M34" s="224"/>
      <c r="N34" s="224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5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8"/>
      <c r="B35" s="229"/>
      <c r="C35" s="230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2" t="n">
        <f aca="false">IF(D35="",0,VLOOKUP(D35,D$22:D34,1,0))</f>
        <v>0</v>
      </c>
      <c r="F35" s="231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4"/>
      <c r="M35" s="224"/>
      <c r="N35" s="224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5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8"/>
      <c r="B36" s="229"/>
      <c r="C36" s="230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2" t="n">
        <f aca="false">IF(D36="",0,VLOOKUP(D36,D$22:D35,1,0))</f>
        <v>0</v>
      </c>
      <c r="F36" s="231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4"/>
      <c r="M36" s="224"/>
      <c r="N36" s="224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5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8"/>
      <c r="B37" s="229"/>
      <c r="C37" s="230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2" t="n">
        <f aca="false">IF(D37="",0,VLOOKUP(D37,D$22:D36,1,0))</f>
        <v>0</v>
      </c>
      <c r="F37" s="231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4"/>
      <c r="M37" s="224"/>
      <c r="N37" s="224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5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8"/>
      <c r="B38" s="229"/>
      <c r="C38" s="230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2" t="n">
        <f aca="false">IF(D38="",0,VLOOKUP(D38,D$22:D37,1,0))</f>
        <v>0</v>
      </c>
      <c r="F38" s="231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4"/>
      <c r="M38" s="224"/>
      <c r="N38" s="224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5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8"/>
      <c r="B39" s="229"/>
      <c r="C39" s="230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2" t="n">
        <f aca="false">IF(D39="",0,VLOOKUP(D39,D$22:D38,1,0))</f>
        <v>0</v>
      </c>
      <c r="F39" s="231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4"/>
      <c r="M39" s="224"/>
      <c r="N39" s="224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5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8"/>
      <c r="B40" s="229"/>
      <c r="C40" s="230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2" t="n">
        <f aca="false">IF(D40="",0,VLOOKUP(D40,D$22:D39,1,0))</f>
        <v>0</v>
      </c>
      <c r="F40" s="231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4"/>
      <c r="M40" s="224"/>
      <c r="N40" s="224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5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8"/>
      <c r="B41" s="229"/>
      <c r="C41" s="230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2" t="n">
        <f aca="false">IF(D41="",0,VLOOKUP(D41,D$22:D40,1,0))</f>
        <v>0</v>
      </c>
      <c r="F41" s="231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8"/>
      <c r="B42" s="229"/>
      <c r="C42" s="230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2" t="n">
        <f aca="false">IF(D42="",0,VLOOKUP(D42,D$22:D41,1,0))</f>
        <v>0</v>
      </c>
      <c r="F42" s="231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8"/>
      <c r="B43" s="229"/>
      <c r="C43" s="230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2" t="n">
        <f aca="false">IF(D43="",0,VLOOKUP(D43,D$22:D42,1,0))</f>
        <v>0</v>
      </c>
      <c r="F43" s="231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8"/>
      <c r="B44" s="229"/>
      <c r="C44" s="230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2" t="n">
        <f aca="false">IF(D44="",0,VLOOKUP(D44,D$22:D43,1,0))</f>
        <v>0</v>
      </c>
      <c r="F44" s="231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8"/>
      <c r="B45" s="229"/>
      <c r="C45" s="230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2" t="n">
        <f aca="false">IF(D45="",0,VLOOKUP(D45,D$22:D44,1,0))</f>
        <v>0</v>
      </c>
      <c r="F45" s="231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8"/>
      <c r="B46" s="229"/>
      <c r="C46" s="230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2" t="n">
        <f aca="false">IF(D46="",0,VLOOKUP(D46,D$22:D39,1,0))</f>
        <v>0</v>
      </c>
      <c r="F46" s="231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8"/>
      <c r="B47" s="229"/>
      <c r="C47" s="230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2" t="n">
        <f aca="false">IF(D47="",0,VLOOKUP(D47,D$22:D39,1,0))</f>
        <v>0</v>
      </c>
      <c r="F47" s="231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8"/>
      <c r="B48" s="229"/>
      <c r="C48" s="230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2" t="n">
        <f aca="false">IF(D48="",0,VLOOKUP(D48,D$22:D40,1,0))</f>
        <v>0</v>
      </c>
      <c r="F48" s="231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8"/>
      <c r="B49" s="229"/>
      <c r="C49" s="230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2" t="n">
        <f aca="false">IF(D49="",0,VLOOKUP(D49,D$22:D48,1,0))</f>
        <v>0</v>
      </c>
      <c r="F49" s="231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8"/>
      <c r="B50" s="229"/>
      <c r="C50" s="230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2" t="n">
        <f aca="false">IF(D50="",0,VLOOKUP(D50,D$22:D49,1,0))</f>
        <v>0</v>
      </c>
      <c r="F50" s="231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8"/>
      <c r="B51" s="229"/>
      <c r="C51" s="230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2" t="n">
        <f aca="false">IF(D51="",0,VLOOKUP(D51,D$22:D50,1,0))</f>
        <v>0</v>
      </c>
      <c r="F51" s="231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4"/>
      <c r="M51" s="224"/>
      <c r="N51" s="224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8"/>
      <c r="B52" s="229"/>
      <c r="C52" s="230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2" t="n">
        <f aca="false">IF(D52="",0,VLOOKUP(D52,D$22:D51,1,0))</f>
        <v>0</v>
      </c>
      <c r="F52" s="231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4"/>
      <c r="M52" s="224"/>
      <c r="N52" s="224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8"/>
      <c r="B53" s="229"/>
      <c r="C53" s="230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2" t="n">
        <f aca="false">IF(D53="",0,VLOOKUP(D53,D$22:D52,1,0))</f>
        <v>0</v>
      </c>
      <c r="F53" s="231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4"/>
      <c r="M53" s="224"/>
      <c r="N53" s="224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8"/>
      <c r="B54" s="229"/>
      <c r="C54" s="230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2" t="n">
        <f aca="false">IF(D54="",0,VLOOKUP(D54,D$22:D53,1,0))</f>
        <v>0</v>
      </c>
      <c r="F54" s="231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4"/>
      <c r="M54" s="224"/>
      <c r="N54" s="224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8"/>
      <c r="B55" s="229"/>
      <c r="C55" s="230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2" t="n">
        <f aca="false">IF(D55="",0,VLOOKUP(D55,D$22:D54,1,0))</f>
        <v>0</v>
      </c>
      <c r="F55" s="231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8"/>
      <c r="B56" s="229"/>
      <c r="C56" s="230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2" t="n">
        <f aca="false">IF(D56="",0,VLOOKUP(D56,D$22:D55,1,0))</f>
        <v>0</v>
      </c>
      <c r="F56" s="231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8"/>
      <c r="B57" s="229"/>
      <c r="C57" s="230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2" t="n">
        <f aca="false">IF(D57="",0,VLOOKUP(D57,D$21:D56,1,0))</f>
        <v>0</v>
      </c>
      <c r="F57" s="231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2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8"/>
      <c r="B58" s="229"/>
      <c r="C58" s="230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2" t="n">
        <f aca="false">IF(D58="",0,VLOOKUP(D58,D$22:D57,1,0))</f>
        <v>0</v>
      </c>
      <c r="F58" s="231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8"/>
      <c r="B59" s="229"/>
      <c r="C59" s="230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2" t="n">
        <f aca="false">IF(D59="",0,VLOOKUP(D59,D$22:D58,1,0))</f>
        <v>0</v>
      </c>
      <c r="F59" s="231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8"/>
      <c r="B60" s="229"/>
      <c r="C60" s="230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2" t="n">
        <f aca="false">IF(D60="",0,VLOOKUP(D60,D$22:D59,1,0))</f>
        <v>0</v>
      </c>
      <c r="F60" s="231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8"/>
      <c r="B61" s="229"/>
      <c r="C61" s="230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2" t="n">
        <f aca="false">IF(D61="",0,VLOOKUP(D61,D$22:D60,1,0))</f>
        <v>0</v>
      </c>
      <c r="F61" s="231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8"/>
      <c r="B62" s="229"/>
      <c r="C62" s="230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2" t="n">
        <f aca="false">IF(D62="",0,VLOOKUP(D62,D$22:D61,1,0))</f>
        <v>0</v>
      </c>
      <c r="F62" s="231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8"/>
      <c r="B63" s="229"/>
      <c r="C63" s="230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2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8"/>
      <c r="B64" s="229"/>
      <c r="C64" s="230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2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8"/>
      <c r="B65" s="229"/>
      <c r="C65" s="230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2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8"/>
      <c r="B66" s="229"/>
      <c r="C66" s="230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2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8"/>
      <c r="B67" s="229"/>
      <c r="C67" s="230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2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8"/>
      <c r="B68" s="229"/>
      <c r="C68" s="230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2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8"/>
      <c r="B69" s="229"/>
      <c r="C69" s="230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2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8"/>
      <c r="B70" s="229"/>
      <c r="C70" s="230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2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8"/>
      <c r="B71" s="229"/>
      <c r="C71" s="230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2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8"/>
      <c r="B72" s="229"/>
      <c r="C72" s="230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2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8"/>
      <c r="B73" s="229"/>
      <c r="C73" s="230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2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8"/>
      <c r="B74" s="229"/>
      <c r="C74" s="230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2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8"/>
      <c r="B75" s="229"/>
      <c r="C75" s="230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2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8"/>
      <c r="B76" s="229"/>
      <c r="C76" s="230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2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8"/>
      <c r="B77" s="229"/>
      <c r="C77" s="230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2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8"/>
      <c r="B78" s="229"/>
      <c r="C78" s="230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2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8"/>
      <c r="B79" s="229"/>
      <c r="C79" s="230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2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8"/>
      <c r="B80" s="229"/>
      <c r="C80" s="230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2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8"/>
      <c r="B81" s="229"/>
      <c r="C81" s="230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2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9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52"/>
      <c r="X82" s="253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4" t="s">
        <v>82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DREVENNE</v>
      </c>
      <c r="B84" s="259" t="str">
        <f aca="false">C3</f>
        <v>DREVENNE A ROVON</v>
      </c>
      <c r="C84" s="260" t="n">
        <f aca="false">A4</f>
        <v>41465</v>
      </c>
      <c r="D84" s="261" t="n">
        <f aca="false">IF(ISERROR(SUM($T$23:$T$82)/SUM($U$23:$U$82)),"",SUM($T$23:$T$82)/SUM($U$23:$U$82))</f>
        <v>10.875</v>
      </c>
      <c r="E84" s="262" t="n">
        <f aca="false">N13</f>
        <v>6</v>
      </c>
      <c r="F84" s="259" t="n">
        <f aca="false">N14</f>
        <v>6</v>
      </c>
      <c r="G84" s="259" t="n">
        <f aca="false">N15</f>
        <v>4</v>
      </c>
      <c r="H84" s="259" t="n">
        <f aca="false">N16</f>
        <v>2</v>
      </c>
      <c r="I84" s="259" t="n">
        <f aca="false">N17</f>
        <v>0</v>
      </c>
      <c r="J84" s="263" t="n">
        <f aca="false">N8</f>
        <v>10.3333333333333</v>
      </c>
      <c r="K84" s="261" t="n">
        <f aca="false">N9</f>
        <v>2.35702260395516</v>
      </c>
      <c r="L84" s="262" t="n">
        <f aca="false">N10</f>
        <v>6</v>
      </c>
      <c r="M84" s="262" t="n">
        <f aca="false">N11</f>
        <v>13</v>
      </c>
      <c r="N84" s="261" t="n">
        <f aca="false">O8</f>
        <v>1.33333333333333</v>
      </c>
      <c r="O84" s="261" t="n">
        <f aca="false">O9</f>
        <v>0.471404520791032</v>
      </c>
      <c r="P84" s="262" t="n">
        <f aca="false">O10</f>
        <v>1</v>
      </c>
      <c r="Q84" s="262" t="n">
        <f aca="false">O11</f>
        <v>2</v>
      </c>
      <c r="R84" s="262" t="n">
        <f aca="false">F21</f>
        <v>0.042</v>
      </c>
      <c r="S84" s="262" t="n">
        <f aca="false">K11</f>
        <v>0</v>
      </c>
      <c r="T84" s="262" t="n">
        <f aca="false">K12</f>
        <v>3</v>
      </c>
      <c r="U84" s="262" t="n">
        <f aca="false">K13</f>
        <v>3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7" t="n">
        <f aca="false">VLOOKUP(MAX($S$23:$S$82),($S$23:$U$82),1,0)</f>
        <v>13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7" t="n">
        <f aca="false">VLOOKUP((S87),($S$23:$U$82),2,0)</f>
        <v>26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7" t="n">
        <f aca="false">VLOOKUP((S87),($S$23:$U$82),3,0)</f>
        <v>2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68" t="n">
        <f aca="false">IF(ISERROR(SUM($T$23:$T$82)/SUM($U$23:$U$82)),"",(SUM($T$23:$T$82)-S88)/(SUM($U$23:$U$82)-S89))</f>
        <v>10.1666666666667</v>
      </c>
      <c r="T90" s="10"/>
    </row>
    <row r="91" customFormat="false" ht="12.75" hidden="false" customHeight="false" outlineLevel="0" collapsed="false">
      <c r="Q91" s="216" t="s">
        <v>88</v>
      </c>
      <c r="R91" s="216"/>
      <c r="S91" s="216" t="str">
        <f aca="false">INDEX('[1]liste reference'!$A$8:$A$904,$T$91)</f>
        <v>PHOSPX</v>
      </c>
      <c r="T91" s="10" t="n">
        <f aca="false">IF(ISERROR(MATCH($S$93,'[1]liste reference'!$A$8:$A$904,0)),MATCH($S$93,'[1]liste reference'!$B$8:$B$904,0),(MATCH($S$93,'[1]liste reference'!$A$8:$A$904,0)))</f>
        <v>57</v>
      </c>
      <c r="U91" s="257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6" t="s">
        <v>90</v>
      </c>
      <c r="R93" s="10"/>
      <c r="S93" s="216" t="str">
        <f aca="false">INDEX($A$23:$A$82,$S$92)</f>
        <v>PHOSPX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9:A82">
    <cfRule type="expression" priority="2" aboveAverage="0" equalAverage="0" bottom="0" percent="0" rank="0" text="" dxfId="0">
      <formula>ISTEXT($E29)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28">
    <cfRule type="cellIs" priority="28" operator="equal" aboveAverage="0" equalAverage="0" bottom="0" percent="0" rank="0" text="" dxfId="26">
      <formula>0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2013-12-12T11:29:24Z</dcterms:created>
  <dc:creator>li</dc:creator>
  <dc:description/>
  <dc:language>fr-FR</dc:language>
  <cp:lastModifiedBy>li</cp:lastModifiedBy>
  <dcterms:modified xsi:type="dcterms:W3CDTF">2013-12-12T11:29:26Z</dcterms:modified>
  <cp:revision>0</cp:revision>
  <dc:subject/>
  <dc:title/>
</cp:coreProperties>
</file>