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<sst xmlns="http://schemas.openxmlformats.org/spreadsheetml/2006/main" count="217" uniqueCount="92">
  <si>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</si>
  <si>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>modèle Irstea-GIS</t>
  </si>
  <si>
    <t>SAGE ENVIRONNEMENT</t>
  </si>
  <si>
    <t>M.SCHNEIDER P.BELLY</t>
  </si>
  <si>
    <t xml:space="preserve">DREVENNE </t>
  </si>
  <si>
    <t>DREVENNE A ROVON</t>
  </si>
  <si>
    <t>06147220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</si>
  <si>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</si>
  <si>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</si>
  <si>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</si>
  <si>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</si>
  <si>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</si>
  <si>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</si>
  <si>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</si>
  <si>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</si>
  <si>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</si>
  <si>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</si>
  <si>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</si>
  <si>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</si>
  <si>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f. de dissipation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</si>
  <si>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</si>
  <si>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</si>
  <si>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</si>
  <si>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</si>
  <si>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</si>
  <si>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</si>
  <si>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</si>
  <si>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</si>
  <si>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</si>
  <si>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</si>
  <si>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</si>
  <si>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</si>
  <si>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</si>
  <si>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</si>
  <si>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</si>
  <si>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</si>
  <si>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</si>
  <si>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</si>
  <si>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</si>
  <si>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</si>
  <si>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</si>
  <si>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</si>
  <si>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</si>
  <si>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</si>
  <si>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</si>
  <si>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</si>
  <si>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</si>
  <si>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</si>
  <si>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</si>
  <si>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</si>
  <si>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</si>
  <si>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</si>
  <si>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</si>
  <si>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</si>
  <si>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</si>
  <si>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</si>
  <si>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</si>
  <si>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</si>
  <si>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</si>
  <si>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</si>
  <si>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</si>
  <si>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</si>
  <si>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</si>
  <si>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</si>
  <si>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</si>
  <si>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</si>
  <si>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</si>
  <si>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</si>
  <si>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</si>
  <si>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</si>
  <si>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</si>
  <si>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</si>
  <si>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</si>
  <si>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</si>
  <si>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</si>
  <si>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</si>
  <si>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</si>
  <si>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</si>
  <si>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</si>
  <si>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</si>
  <si>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</si>
  <si>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FONANT</t>
  </si>
  <si>
    <t>PALCOM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</si>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</sst>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ERO_2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12.666666666666666</v>
      </c>
      <c r="N5" s="50"/>
      <c r="O5" s="51" t="s">
        <v>16</v>
      </c>
      <c r="P5" s="52">
        <v>13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12.25</v>
      </c>
      <c r="P8" s="85">
        <f>IF(ISERROR(AVERAGE(K23:K82)),"  ",AVERAGE(K23:K82))</f>
        <v>1.5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0.04</v>
      </c>
      <c r="C9" s="88">
        <v>0.14</v>
      </c>
      <c r="D9" s="89"/>
      <c r="E9" s="89"/>
      <c r="F9" s="90">
        <f>($B9*$B$7+$C9*$C$7)/100</f>
        <v>0.05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1.7853571071357126</v>
      </c>
      <c r="P9" s="85">
        <f>IF(ISERROR(STDEVP(K23:K82)),"  ",STDEVP(K23:K82))</f>
        <v>0.5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/>
      <c r="C12" s="114"/>
      <c r="D12" s="89"/>
      <c r="E12" s="89"/>
      <c r="F12" s="106">
        <f>($B12*$B$7+$C12*$C$7)/100</f>
        <v>0</v>
      </c>
      <c r="G12" s="107"/>
      <c r="H12" s="56"/>
      <c r="I12" s="5"/>
      <c r="J12" s="108" t="s">
        <v>38</v>
      </c>
      <c r="K12" s="109"/>
      <c r="L12" s="110">
        <f>COUNTIF($G$23:$G$82,"=ALG")</f>
        <v>0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0.04</v>
      </c>
      <c r="C13" s="114">
        <v>0.14</v>
      </c>
      <c r="D13" s="89"/>
      <c r="E13" s="89"/>
      <c r="F13" s="106">
        <f>($B13*$B$7+$C13*$C$7)/100</f>
        <v>0.05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0.04</v>
      </c>
      <c r="C17" s="114">
        <v>0.14</v>
      </c>
      <c r="D17" s="89"/>
      <c r="E17" s="89"/>
      <c r="F17" s="133"/>
      <c r="G17" s="134">
        <f>($B17*$B$7+$C17*$C$7)/100</f>
        <v>0.05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0.05</v>
      </c>
      <c r="G19" s="157">
        <f>SUM(G16:G18)</f>
        <v>0.05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0.04</v>
      </c>
      <c r="C20" s="167">
        <f>SUM(C23:C62)</f>
        <v>0.14</v>
      </c>
      <c r="D20" s="168"/>
      <c r="E20" s="169" t="s">
        <v>54</v>
      </c>
      <c r="F20" s="170">
        <f>($B20*$B$7+$C20*$C$7)/100</f>
        <v>0.05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0.036000000000000004</v>
      </c>
      <c r="C21" s="178">
        <f>C20*C7/100</f>
        <v>0.014000000000000002</v>
      </c>
      <c r="D21" s="179" t="s">
        <v>58</v>
      </c>
      <c r="E21" s="180"/>
      <c r="F21" s="181">
        <f>B21+C21</f>
        <v>0.05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0.01</v>
      </c>
      <c r="C23" s="208">
        <v>0.02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Fissidens crassipes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0.011000000000000001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BRm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5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12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Fissidens crassipes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1294</v>
      </c>
      <c r="R23" s="219">
        <f aca="true" t="shared" si="2" ref="R23:R82">IF(ISTEXT(H23),"",(B23*$B$7/100)+(C23*$C$7/100))</f>
        <v>0.011000000000000001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FISCRA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255</v>
      </c>
    </row>
    <row r="24" spans="1:26" ht="12.75">
      <c r="A24" s="224" t="s">
        <v>81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Fontinalis antipyretica</v>
      </c>
      <c r="E24" s="228" t="e">
        <f>IF(D24="",,VLOOKUP(D24,D$22:D23,1,0))</f>
        <v>#N/A</v>
      </c>
      <c r="F24" s="229">
        <f t="shared" si="0"/>
        <v>0.001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BRm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5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Fontinalis antipyretica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1310</v>
      </c>
      <c r="R24" s="219">
        <f t="shared" si="2"/>
        <v>0.001</v>
      </c>
      <c r="S24" s="220">
        <f t="shared" si="3"/>
        <v>1</v>
      </c>
      <c r="T24" s="220">
        <f t="shared" si="4"/>
        <v>10</v>
      </c>
      <c r="U24" s="220">
        <f t="shared" si="5"/>
        <v>10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FONANT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273</v>
      </c>
    </row>
    <row r="25" spans="1:26" ht="12.75">
      <c r="A25" s="224" t="s">
        <v>82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Palustriella commutata</v>
      </c>
      <c r="E25" s="228" t="e">
        <f>IF(D25="",,VLOOKUP(D25,D$22:D24,1,0))</f>
        <v>#N/A</v>
      </c>
      <c r="F25" s="229">
        <f t="shared" si="0"/>
        <v>0.001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Palustriella commutata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19903</v>
      </c>
      <c r="R25" s="219">
        <f t="shared" si="2"/>
        <v>0.001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PALCOM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309</v>
      </c>
    </row>
    <row r="26" spans="1:26" ht="12.75">
      <c r="A26" s="224" t="s">
        <v>83</v>
      </c>
      <c r="B26" s="225">
        <v>0.03</v>
      </c>
      <c r="C26" s="226">
        <v>0.10000000000000002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Rhynchostegium riparioides</v>
      </c>
      <c r="E26" s="228" t="e">
        <f>IF(D26="",,VLOOKUP(D26,D$22:D25,1,0))</f>
        <v>#N/A</v>
      </c>
      <c r="F26" s="229">
        <f t="shared" si="0"/>
        <v>0.037000000000000005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Rhynchostegium riparioides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31691</v>
      </c>
      <c r="R26" s="219">
        <f t="shared" si="2"/>
        <v>0.037</v>
      </c>
      <c r="S26" s="220">
        <f t="shared" si="3"/>
        <v>1</v>
      </c>
      <c r="T26" s="220">
        <f t="shared" si="4"/>
        <v>12</v>
      </c>
      <c r="U26" s="220">
        <f t="shared" si="5"/>
        <v>12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RHYRIP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345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6</v>
      </c>
      <c r="W83" s="220"/>
      <c r="X83" s="258"/>
      <c r="Y83" s="258"/>
      <c r="Z83" s="259"/>
    </row>
    <row r="84" spans="1:26" ht="12.75" hidden="1">
      <c r="A84" s="253" t="str">
        <f>A3</f>
        <v>DREVENNE </v>
      </c>
      <c r="B84" s="187" t="str">
        <f>C3</f>
        <v>DREVENNE A ROVON</v>
      </c>
      <c r="C84" s="260" t="str">
        <f>A4</f>
        <v>(Date)</v>
      </c>
      <c r="D84" s="261">
        <f>IF(OR(ISERROR(SUM($U$23:$U$82)/SUM($V$23:$V$82)),F7&lt;&gt;100),-1,SUM($U$23:$U$82)/SUM($V$23:$V$82))</f>
        <v>12.666666666666666</v>
      </c>
      <c r="E84" s="262">
        <f>O13</f>
        <v>4</v>
      </c>
      <c r="F84" s="187">
        <f>O14</f>
        <v>4</v>
      </c>
      <c r="G84" s="187">
        <f>O15</f>
        <v>2</v>
      </c>
      <c r="H84" s="187">
        <f>O16</f>
        <v>2</v>
      </c>
      <c r="I84" s="187">
        <f>O17</f>
        <v>0</v>
      </c>
      <c r="J84" s="263">
        <f>O8</f>
        <v>12.25</v>
      </c>
      <c r="K84" s="264">
        <f>O9</f>
        <v>1.7853571071357126</v>
      </c>
      <c r="L84" s="265">
        <f>O10</f>
        <v>10</v>
      </c>
      <c r="M84" s="265">
        <f>O11</f>
        <v>15</v>
      </c>
      <c r="N84" s="264">
        <f>P8</f>
        <v>1.5</v>
      </c>
      <c r="O84" s="264">
        <f>P9</f>
        <v>0.5</v>
      </c>
      <c r="P84" s="265">
        <f>P10</f>
        <v>1</v>
      </c>
      <c r="Q84" s="265">
        <f>P11</f>
        <v>2</v>
      </c>
      <c r="R84" s="265">
        <f>F21</f>
        <v>0.05</v>
      </c>
      <c r="S84" s="265">
        <f>L11</f>
        <v>0</v>
      </c>
      <c r="T84" s="265">
        <f>L12</f>
        <v>0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12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24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13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FISCRA</v>
      </c>
      <c r="U91" s="5">
        <f>IF(ISERROR(MATCH($T$93,'[1]liste reference'!$A$6:$A$1174,0)),MATCH($T$93,'[1]liste reference'!$B$6:$B$1174,0),(MATCH($T$93,'[1]liste reference'!$A$6:$A$1174,0)))</f>
        <v>255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FISCRA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2016-01-25T08:46:08Z</dcterms:created>
  <dcterms:modified xsi:type="dcterms:W3CDTF">2016-01-25T08:46:10Z</dcterms:modified>
  <cp:category/>
  <cp:version/>
  <cp:contentType/>
  <cp:contentStatus/>
</cp:coreProperties>
</file>