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serre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'serres'!$A$1:$O$30</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<sst xmlns="http://schemas.openxmlformats.org/spreadsheetml/2006/main" count="208" uniqueCount="88">
  <si>
    <t>Relevés floristiques aquatiques - IBMR</t>
  </si>
  <si>
    <t>GIS Macrophytes - juillet 2006</t>
  </si>
  <si>
    <t>CARICAIE</t>
  </si>
  <si>
    <t>conforme AFNOR T90-395 oct. 2003</t>
  </si>
  <si>
    <t>BUECH</t>
  </si>
  <si>
    <t>SERRES</t>
  </si>
  <si>
    <t>06154850</t>
  </si>
  <si>
    <t>Résultats</t>
  </si>
  <si>
    <t>Robustesse:</t>
  </si>
  <si>
    <t>F. courant</t>
  </si>
  <si>
    <t>F. lent</t>
  </si>
  <si>
    <t>station</t>
  </si>
  <si>
    <t>IBMR:</t>
  </si>
  <si>
    <t>LYN.SPX</t>
  </si>
  <si>
    <t>Type de faciès</t>
  </si>
  <si>
    <t>radier</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</si>
  <si>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</si>
  <si>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</si>
  <si>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</si>
  <si>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</si>
  <si>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</si>
  <si>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</si>
  <si>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</si>
  <si>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</si>
  <si>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</si>
  <si>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</si>
  <si>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</si>
  <si>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</si>
  <si>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</si>
  <si>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</si>
  <si>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</si>
  <si>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</si>
  <si>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</si>
  <si>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</si>
  <si>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</si>
  <si>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</si>
  <si>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</si>
  <si>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</si>
  <si>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</si>
  <si>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</si>
  <si>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</si>
  <si>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</si>
  <si>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</si>
  <si>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</si>
  <si>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</si>
  <si>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</si>
  <si>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</si>
  <si>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</si>
  <si>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</si>
  <si>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</si>
  <si>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</si>
  <si>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</si>
  <si>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</si>
  <si>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</si>
  <si>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</si>
  <si>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</si>
  <si>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</si>
  <si>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</si>
  <si>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</si>
  <si>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</si>
  <si>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</si>
  <si>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</si>
  <si>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</si>
  <si>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</si>
  <si>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</si>
  <si>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</si>
  <si>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</si>
  <si>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</si>
  <si>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</si>
  <si>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</si>
  <si>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</si>
  <si>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LEA.SPX</t>
  </si>
  <si>
    <t>MEL.SPX</t>
  </si>
  <si>
    <t>OED.SPX</t>
  </si>
  <si>
    <t>OSC.SPX</t>
  </si>
  <si>
    <t>RHI.SPX</t>
  </si>
  <si>
    <t>CIN.FON</t>
  </si>
  <si>
    <t>FIS.CRA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</si>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</sst>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ill="1" applyBorder="1" applyAlignment="1">
      <alignment/>
    </xf>
    <xf numFmtId="0" fontId="26" fillId="6" borderId="76" xfId="0" applyFont="1" applyFill="1" applyBorder="1" applyAlignment="1">
      <alignment horizontal="right"/>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8" borderId="78" xfId="0" applyNumberFormat="1" applyFont="1" applyFill="1" applyBorder="1" applyAlignment="1" applyProtection="1">
      <alignment/>
      <protection hidden="1"/>
    </xf>
    <xf numFmtId="1" fontId="27" fillId="0" borderId="0" xfId="0" applyNumberFormat="1" applyFont="1" applyAlignment="1" applyProtection="1">
      <alignment/>
      <protection hidden="1"/>
    </xf>
    <xf numFmtId="0" fontId="0" fillId="6" borderId="79" xfId="0" applyFill="1" applyBorder="1" applyAlignment="1">
      <alignment/>
    </xf>
    <xf numFmtId="1" fontId="0" fillId="0" borderId="0" xfId="0" applyNumberFormat="1" applyAlignment="1" applyProtection="1">
      <alignment/>
      <protection hidden="1"/>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ALLEMOISSON"/>
      <sheetName val="BARLES"/>
      <sheetName val="ribiers"/>
      <sheetName val="méoug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32">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5"/>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40387</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10.19047619047619</v>
      </c>
      <c r="M5" s="51"/>
      <c r="N5" s="52" t="s">
        <v>13</v>
      </c>
      <c r="O5" s="53">
        <v>10.266666666666667</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10</v>
      </c>
      <c r="O8" s="84">
        <f>AVERAGE(J23:J82)</f>
        <v>1.75</v>
      </c>
      <c r="P8" s="7"/>
      <c r="Q8" s="7"/>
      <c r="R8" s="7"/>
      <c r="S8" s="7"/>
      <c r="T8" s="7"/>
      <c r="U8" s="7"/>
      <c r="V8" s="20"/>
      <c r="W8" s="21"/>
    </row>
    <row r="9" spans="1:23" ht="13.5" thickBot="1">
      <c r="A9" s="85" t="s">
        <v>25</v>
      </c>
      <c r="B9" s="86">
        <v>5.5</v>
      </c>
      <c r="C9" s="87"/>
      <c r="D9" s="88"/>
      <c r="E9" s="88"/>
      <c r="F9" s="89">
        <f aca="true" t="shared" si="0" ref="F9:F15">($B9*$B$7+$C9*$C$7)/100</f>
        <v>5.5</v>
      </c>
      <c r="G9" s="90"/>
      <c r="H9" s="91"/>
      <c r="I9" s="92"/>
      <c r="J9" s="93"/>
      <c r="K9" s="72"/>
      <c r="L9" s="94"/>
      <c r="M9" s="82" t="s">
        <v>26</v>
      </c>
      <c r="N9" s="83">
        <f>STDEV(I23:I82)</f>
        <v>3.5050983275386565</v>
      </c>
      <c r="O9" s="84">
        <f>STDEV(J23:J82)</f>
        <v>0.4629100498862757</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4</v>
      </c>
      <c r="O10" s="107">
        <f>MIN(J23:J82)</f>
        <v>1</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15</v>
      </c>
      <c r="O11" s="107">
        <f>MAX(J23:J82)</f>
        <v>2</v>
      </c>
      <c r="P11" s="7"/>
      <c r="Q11" s="7"/>
      <c r="R11" s="7"/>
      <c r="S11" s="7"/>
      <c r="T11" s="7"/>
      <c r="U11" s="7"/>
    </row>
    <row r="12" spans="1:21" ht="12.75">
      <c r="A12" s="118" t="s">
        <v>33</v>
      </c>
      <c r="B12" s="119">
        <v>5</v>
      </c>
      <c r="C12" s="120"/>
      <c r="D12" s="111"/>
      <c r="E12" s="111"/>
      <c r="F12" s="112">
        <f t="shared" si="0"/>
        <v>5</v>
      </c>
      <c r="G12" s="121"/>
      <c r="H12" s="67"/>
      <c r="I12" s="122" t="s">
        <v>34</v>
      </c>
      <c r="J12" s="123"/>
      <c r="K12" s="116">
        <f>COUNTIF($G$23:$G$82,"=ALG")</f>
        <v>6</v>
      </c>
      <c r="L12" s="124"/>
      <c r="M12" s="125"/>
      <c r="N12" s="126" t="s">
        <v>28</v>
      </c>
      <c r="O12" s="127"/>
      <c r="P12" s="7"/>
      <c r="Q12" s="7"/>
      <c r="R12" s="7"/>
      <c r="S12" s="7"/>
      <c r="T12" s="7"/>
      <c r="U12" s="7"/>
    </row>
    <row r="13" spans="1:21" ht="12.75">
      <c r="A13" s="118" t="s">
        <v>35</v>
      </c>
      <c r="B13" s="119">
        <v>0.5</v>
      </c>
      <c r="C13" s="120"/>
      <c r="D13" s="111"/>
      <c r="E13" s="111"/>
      <c r="F13" s="112">
        <f t="shared" si="0"/>
        <v>0.5</v>
      </c>
      <c r="G13" s="121"/>
      <c r="H13" s="67"/>
      <c r="I13" s="128" t="s">
        <v>36</v>
      </c>
      <c r="J13" s="123"/>
      <c r="K13" s="116">
        <f>COUNTIF($G$23:$G$82,"=BRm")+COUNTIF($G$23:$G$82,"=BRh")</f>
        <v>2</v>
      </c>
      <c r="L13" s="117"/>
      <c r="M13" s="129" t="s">
        <v>37</v>
      </c>
      <c r="N13" s="130">
        <f>COUNTIF(F23:F82,"&gt;0")</f>
        <v>8</v>
      </c>
      <c r="O13" s="131"/>
      <c r="P13" s="7"/>
      <c r="Q13" s="7"/>
      <c r="R13" s="7"/>
      <c r="S13" s="7"/>
      <c r="T13" s="7"/>
      <c r="U13" s="7"/>
    </row>
    <row r="14" spans="1:21" ht="12.75">
      <c r="A14" s="118" t="s">
        <v>38</v>
      </c>
      <c r="B14" s="119">
        <v>0</v>
      </c>
      <c r="C14" s="120"/>
      <c r="D14" s="111"/>
      <c r="E14" s="111"/>
      <c r="F14" s="112">
        <f t="shared" si="0"/>
        <v>0</v>
      </c>
      <c r="G14" s="121"/>
      <c r="H14" s="67"/>
      <c r="I14" s="128" t="s">
        <v>39</v>
      </c>
      <c r="J14" s="123"/>
      <c r="K14" s="116">
        <f>COUNTIF($G$23:$G$82,"=PTE")</f>
        <v>0</v>
      </c>
      <c r="L14" s="117"/>
      <c r="M14" s="132" t="s">
        <v>40</v>
      </c>
      <c r="N14" s="133">
        <f>COUNTIF($I$23:$I$82,"&gt;-1")</f>
        <v>8</v>
      </c>
      <c r="O14" s="134"/>
      <c r="P14" s="7"/>
      <c r="Q14" s="7"/>
      <c r="R14" s="7"/>
      <c r="S14" s="7"/>
      <c r="T14" s="7"/>
      <c r="U14" s="7"/>
    </row>
    <row r="15" spans="1:21" ht="12.75">
      <c r="A15" s="135" t="s">
        <v>41</v>
      </c>
      <c r="B15" s="136">
        <v>0</v>
      </c>
      <c r="C15" s="137"/>
      <c r="D15" s="111"/>
      <c r="E15" s="111"/>
      <c r="F15" s="112">
        <f t="shared" si="0"/>
        <v>0</v>
      </c>
      <c r="G15" s="121"/>
      <c r="H15" s="67"/>
      <c r="I15" s="128" t="s">
        <v>42</v>
      </c>
      <c r="J15" s="123"/>
      <c r="K15" s="116">
        <f>(COUNTIF($G$23:$G$82,"=PHy"))+(COUNTIF($G$23:$G$82,"=PHe"))+(COUNTIF($G$23:$G$82,"=PHg"))+(COUNTIF($G$23:$G$82,"=PHx"))</f>
        <v>0</v>
      </c>
      <c r="L15" s="117"/>
      <c r="M15" s="138" t="s">
        <v>43</v>
      </c>
      <c r="N15" s="139">
        <f>COUNTIF(J23:J82,"=1")</f>
        <v>2</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6</v>
      </c>
      <c r="O16" s="140"/>
      <c r="P16" s="7"/>
      <c r="Q16" s="7"/>
      <c r="R16" s="7"/>
      <c r="S16" s="7"/>
      <c r="T16" s="7"/>
      <c r="U16" s="7"/>
    </row>
    <row r="17" spans="1:21" ht="12.75">
      <c r="A17" s="118" t="s">
        <v>46</v>
      </c>
      <c r="B17" s="119">
        <v>5.5</v>
      </c>
      <c r="C17" s="120"/>
      <c r="D17" s="111"/>
      <c r="E17" s="111"/>
      <c r="F17" s="145"/>
      <c r="G17" s="112">
        <f>($B17*$B$7+$C17*$C$7)/100</f>
        <v>5.5</v>
      </c>
      <c r="H17" s="67"/>
      <c r="I17" s="128"/>
      <c r="J17" s="123"/>
      <c r="K17" s="144"/>
      <c r="L17" s="117"/>
      <c r="M17" s="138" t="s">
        <v>47</v>
      </c>
      <c r="N17" s="139">
        <f>COUNTIF(J23:J82,"=3")</f>
        <v>0</v>
      </c>
      <c r="O17" s="140"/>
      <c r="P17" s="7"/>
      <c r="Q17" s="7"/>
      <c r="R17" s="7"/>
      <c r="S17" s="7"/>
      <c r="T17" s="7"/>
      <c r="U17" s="7"/>
    </row>
    <row r="18" spans="1:22" ht="12.75">
      <c r="A18" s="147" t="s">
        <v>48</v>
      </c>
      <c r="B18" s="148">
        <v>0</v>
      </c>
      <c r="C18" s="149"/>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5.5</v>
      </c>
      <c r="G19" s="158">
        <f>SUM(G16:G18)</f>
        <v>5.5</v>
      </c>
      <c r="H19" s="159"/>
      <c r="I19" s="160"/>
      <c r="J19" s="161"/>
      <c r="K19" s="162"/>
      <c r="L19" s="163"/>
      <c r="M19" s="164"/>
      <c r="N19" s="59"/>
      <c r="O19" s="165"/>
      <c r="P19" s="7"/>
      <c r="Q19" s="7"/>
      <c r="R19" s="7"/>
      <c r="S19" s="7"/>
      <c r="T19" s="7"/>
      <c r="U19" s="7"/>
      <c r="V19" s="152" t="s">
        <v>50</v>
      </c>
    </row>
    <row r="20" spans="1:22" ht="12.75">
      <c r="A20" s="85" t="s">
        <v>87</v>
      </c>
      <c r="B20" s="166">
        <f>SUM(B23:B82)</f>
        <v>5.859999999999999</v>
      </c>
      <c r="C20" s="167">
        <f>SUM(C23:C82)</f>
        <v>0</v>
      </c>
      <c r="D20" s="168"/>
      <c r="E20" s="169" t="s">
        <v>49</v>
      </c>
      <c r="F20" s="170">
        <f>($B20*$B$7+$C20*$C$7)/100</f>
        <v>5.86</v>
      </c>
      <c r="G20" s="171"/>
      <c r="H20" s="172"/>
      <c r="I20" s="173"/>
      <c r="J20" s="173"/>
      <c r="K20" s="174"/>
      <c r="L20" s="45"/>
      <c r="M20" s="175"/>
      <c r="N20" s="175"/>
      <c r="O20" s="176"/>
      <c r="P20" s="177" t="s">
        <v>51</v>
      </c>
      <c r="Q20" s="7"/>
      <c r="R20" s="7"/>
      <c r="S20" s="7"/>
      <c r="T20" s="7"/>
      <c r="U20" s="7"/>
      <c r="V20" s="152" t="s">
        <v>50</v>
      </c>
    </row>
    <row r="21" spans="1:22" ht="12.75">
      <c r="A21" s="178" t="s">
        <v>52</v>
      </c>
      <c r="B21" s="179">
        <f>B20*B7/100</f>
        <v>5.86</v>
      </c>
      <c r="C21" s="179">
        <f>C20*C7/100</f>
        <v>0</v>
      </c>
      <c r="D21" s="111">
        <f>IF(F21=0,"",IF((ABS(F21-F19))&gt;(0.2*F21),CONCATENATE(" rec. par taxa (",F21," %) supérieur à 20 % !"),""))</f>
      </c>
      <c r="E21" s="180">
        <f>IF(F21=0,"",IF((ABS(F21-F19))&gt;(0.2*F21),CONCATENATE("ATTENTION : écart entre rec. par grp (",F19," %) ","et",""),""))</f>
      </c>
      <c r="F21" s="181">
        <f>B21+C21</f>
        <v>5.86</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71</v>
      </c>
      <c r="B23" s="203">
        <v>0.05</v>
      </c>
      <c r="C23" s="204"/>
      <c r="D23" s="205" t="str">
        <f>IF(ISERROR(VLOOKUP($A23,'[1]liste reference'!$A$7:$D$906,2,0)),IF(ISERROR(VLOOKUP($A23,'[1]liste reference'!$B$7:$D$906,1,0)),"",VLOOKUP($A23,'[1]liste reference'!$B$7:$D$906,1,0)),VLOOKUP($A23,'[1]liste reference'!$A$7:$D$906,2,0))</f>
        <v>Lemanea gr. fluviatilis</v>
      </c>
      <c r="E23" s="205" t="e">
        <f>IF(D23="",,VLOOKUP(D23,D$22:D22,1,0))</f>
        <v>#N/A</v>
      </c>
      <c r="F23" s="206">
        <f aca="true" t="shared" si="1" ref="F23:F54">($B23*$B$7+$C23*$C$7)/100</f>
        <v>0.05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15</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Lemanea gr. fluviatilis</v>
      </c>
      <c r="L23" s="212"/>
      <c r="M23" s="212"/>
      <c r="N23" s="212"/>
      <c r="O23" s="213"/>
      <c r="P23" s="214">
        <f aca="true" t="shared" si="2" ref="P23:P54">IF(ISTEXT(H23),"",(B23*$B$7/100)+(C23*$C$7/100))</f>
        <v>0.05</v>
      </c>
      <c r="Q23" s="215">
        <f aca="true" t="shared" si="3" ref="Q23:Q54">IF(OR(ISTEXT(H23),P23=0),"",IF(P23&lt;0.1,1,IF(P23&lt;1,2,IF(P23&lt;10,3,IF(P23&lt;50,4,IF(P23&gt;=50,5,""))))))</f>
        <v>1</v>
      </c>
      <c r="R23" s="215">
        <f aca="true" t="shared" si="4" ref="R23:R54">IF(ISERROR(Q23*I23),0,Q23*I23)</f>
        <v>15</v>
      </c>
      <c r="S23" s="215">
        <f aca="true" t="shared" si="5" ref="S23:S54">IF(ISERROR(Q23*I23*J23),0,Q23*I23*J23)</f>
        <v>30</v>
      </c>
      <c r="T23" s="215">
        <f aca="true" t="shared" si="6" ref="T23:T54">IF(ISERROR(Q23*J23),0,Q23*J23)</f>
        <v>2</v>
      </c>
      <c r="U23" s="216">
        <f aca="true" t="shared" si="7" ref="U23:U54">IF(AND(A23="",F23=0),"",IF(F23=0,"Il manque le(s) % de rec. !",""))</f>
      </c>
      <c r="V23" s="217" t="s">
        <v>50</v>
      </c>
      <c r="X23" s="218" t="str">
        <f>IF(A23="new.cod","NEW.COD",IF(AND((Y23=""),ISTEXT(A23)),A23,IF(Y23="","",INDEX('[1]liste reference'!$A$7:$A$906,Y23))))</f>
        <v>LEA.SPX</v>
      </c>
      <c r="Y23" s="7">
        <f>IF(ISERROR(MATCH(A23,'[1]liste reference'!$A$7:$A$906,0)),IF(ISERROR(MATCH(A23,'[1]liste reference'!$B$7:$B$906,0)),"",(MATCH(A23,'[1]liste reference'!$B$7:$B$906,0))),(MATCH(A23,'[1]liste reference'!$A$7:$A$906,0)))</f>
        <v>35</v>
      </c>
      <c r="Z23" s="219"/>
      <c r="AA23" s="220"/>
      <c r="BB23" s="7">
        <f aca="true" t="shared" si="8" ref="BB23:BB54">IF(A23="","",1)</f>
        <v>1</v>
      </c>
    </row>
    <row r="24" spans="1:54" ht="12.75">
      <c r="A24" s="221" t="s">
        <v>13</v>
      </c>
      <c r="B24" s="222">
        <v>5</v>
      </c>
      <c r="C24" s="223"/>
      <c r="D24" s="224" t="str">
        <f>IF(ISERROR(VLOOKUP($A24,'[1]liste reference'!$A$7:$D$906,2,0)),IF(ISERROR(VLOOKUP($A24,'[1]liste reference'!$B$7:$D$906,1,0)),"",VLOOKUP($A24,'[1]liste reference'!$B$7:$D$906,1,0)),VLOOKUP($A24,'[1]liste reference'!$A$7:$D$906,2,0))</f>
        <v>Lyngbya sp.</v>
      </c>
      <c r="E24" s="224" t="e">
        <f>IF(D24="",,VLOOKUP(D24,D$22:D23,1,0))</f>
        <v>#N/A</v>
      </c>
      <c r="F24" s="225">
        <f t="shared" si="1"/>
        <v>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10</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Lyngbya sp.</v>
      </c>
      <c r="L24" s="229"/>
      <c r="M24" s="229"/>
      <c r="N24" s="229"/>
      <c r="O24" s="230"/>
      <c r="P24" s="214">
        <f t="shared" si="2"/>
        <v>5</v>
      </c>
      <c r="Q24" s="215">
        <f t="shared" si="3"/>
        <v>3</v>
      </c>
      <c r="R24" s="215">
        <f t="shared" si="4"/>
        <v>30</v>
      </c>
      <c r="S24" s="215">
        <f t="shared" si="5"/>
        <v>60</v>
      </c>
      <c r="T24" s="231">
        <f t="shared" si="6"/>
        <v>6</v>
      </c>
      <c r="U24" s="216">
        <f t="shared" si="7"/>
      </c>
      <c r="V24" s="217" t="s">
        <v>50</v>
      </c>
      <c r="X24" s="218" t="str">
        <f>IF(A24="new.cod","NEW.COD",IF(AND((Y24=""),ISTEXT(A24)),A24,IF(Y24="","",INDEX('[1]liste reference'!$A$7:$A$906,Y24))))</f>
        <v>LYN.SPX</v>
      </c>
      <c r="Y24" s="7">
        <f>IF(ISERROR(MATCH(A24,'[1]liste reference'!$A$7:$A$906,0)),IF(ISERROR(MATCH(A24,'[1]liste reference'!$B$7:$B$906,0)),"",(MATCH(A24,'[1]liste reference'!$B$7:$B$906,0))),(MATCH(A24,'[1]liste reference'!$A$7:$A$906,0)))</f>
        <v>36</v>
      </c>
      <c r="Z24" s="219"/>
      <c r="AA24" s="220"/>
      <c r="BB24" s="7">
        <f t="shared" si="8"/>
        <v>1</v>
      </c>
    </row>
    <row r="25" spans="1:54" ht="12.75">
      <c r="A25" s="221" t="s">
        <v>72</v>
      </c>
      <c r="B25" s="222">
        <v>0.05</v>
      </c>
      <c r="C25" s="223"/>
      <c r="D25" s="224" t="str">
        <f>IF(ISERROR(VLOOKUP($A25,'[1]liste reference'!$A$7:$D$906,2,0)),IF(ISERROR(VLOOKUP($A25,'[1]liste reference'!$B$7:$D$906,1,0)),"",VLOOKUP($A25,'[1]liste reference'!$B$7:$D$906,1,0)),VLOOKUP($A25,'[1]liste reference'!$A$7:$D$906,2,0))</f>
        <v>Melosira sp.</v>
      </c>
      <c r="E25" s="224" t="e">
        <f>IF(D25="",,VLOOKUP(D25,D$22:D24,1,0))</f>
        <v>#N/A</v>
      </c>
      <c r="F25" s="225">
        <f t="shared" si="1"/>
        <v>0.05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10</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Melosira sp.</v>
      </c>
      <c r="L25" s="229"/>
      <c r="M25" s="229"/>
      <c r="N25" s="229"/>
      <c r="O25" s="230"/>
      <c r="P25" s="214">
        <f t="shared" si="2"/>
        <v>0.05</v>
      </c>
      <c r="Q25" s="215">
        <f t="shared" si="3"/>
        <v>1</v>
      </c>
      <c r="R25" s="215">
        <f t="shared" si="4"/>
        <v>10</v>
      </c>
      <c r="S25" s="215">
        <f t="shared" si="5"/>
        <v>10</v>
      </c>
      <c r="T25" s="231">
        <f t="shared" si="6"/>
        <v>1</v>
      </c>
      <c r="U25" s="216">
        <f t="shared" si="7"/>
      </c>
      <c r="V25" s="217" t="s">
        <v>50</v>
      </c>
      <c r="X25" s="218" t="str">
        <f>IF(A25="new.cod","NEW.COD",IF(AND((Y25=""),ISTEXT(A25)),A25,IF(Y25="","",INDEX('[1]liste reference'!$A$7:$A$906,Y25))))</f>
        <v>MEL.SPX</v>
      </c>
      <c r="Y25" s="7">
        <f>IF(ISERROR(MATCH(A25,'[1]liste reference'!$A$7:$A$906,0)),IF(ISERROR(MATCH(A25,'[1]liste reference'!$B$7:$B$906,0)),"",(MATCH(A25,'[1]liste reference'!$B$7:$B$906,0))),(MATCH(A25,'[1]liste reference'!$A$7:$A$906,0)))</f>
        <v>37</v>
      </c>
      <c r="Z25" s="219"/>
      <c r="AA25" s="220"/>
      <c r="BB25" s="7">
        <f t="shared" si="8"/>
        <v>1</v>
      </c>
    </row>
    <row r="26" spans="1:54" ht="12.75">
      <c r="A26" s="221" t="s">
        <v>73</v>
      </c>
      <c r="B26" s="222">
        <v>0.05</v>
      </c>
      <c r="C26" s="223"/>
      <c r="D26" s="224" t="str">
        <f>IF(ISERROR(VLOOKUP($A26,'[1]liste reference'!$A$7:$D$906,2,0)),IF(ISERROR(VLOOKUP($A26,'[1]liste reference'!$B$7:$D$906,1,0)),"",VLOOKUP($A26,'[1]liste reference'!$B$7:$D$906,1,0)),VLOOKUP($A26,'[1]liste reference'!$A$7:$D$906,2,0))</f>
        <v>Oedogonium sp.</v>
      </c>
      <c r="E26" s="224" t="e">
        <f>IF(D26="",,VLOOKUP(D26,D$22:D25,1,0))</f>
        <v>#N/A</v>
      </c>
      <c r="F26" s="225">
        <f t="shared" si="1"/>
        <v>0.05</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6</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Oedogonium sp.</v>
      </c>
      <c r="L26" s="229"/>
      <c r="M26" s="229"/>
      <c r="N26" s="229"/>
      <c r="O26" s="230"/>
      <c r="P26" s="214">
        <f t="shared" si="2"/>
        <v>0.05</v>
      </c>
      <c r="Q26" s="215">
        <f t="shared" si="3"/>
        <v>1</v>
      </c>
      <c r="R26" s="215">
        <f t="shared" si="4"/>
        <v>6</v>
      </c>
      <c r="S26" s="215">
        <f t="shared" si="5"/>
        <v>12</v>
      </c>
      <c r="T26" s="231">
        <f t="shared" si="6"/>
        <v>2</v>
      </c>
      <c r="U26" s="216">
        <f t="shared" si="7"/>
      </c>
      <c r="V26" s="217" t="s">
        <v>50</v>
      </c>
      <c r="X26" s="218" t="str">
        <f>IF(A26="new.cod","NEW.COD",IF(AND((Y26=""),ISTEXT(A26)),A26,IF(Y26="","",INDEX('[1]liste reference'!$A$7:$A$906,Y26))))</f>
        <v>OED.SPX</v>
      </c>
      <c r="Y26" s="7">
        <f>IF(ISERROR(MATCH(A26,'[1]liste reference'!$A$7:$A$906,0)),IF(ISERROR(MATCH(A26,'[1]liste reference'!$B$7:$B$906,0)),"",(MATCH(A26,'[1]liste reference'!$B$7:$B$906,0))),(MATCH(A26,'[1]liste reference'!$A$7:$A$906,0)))</f>
        <v>56</v>
      </c>
      <c r="Z26" s="219"/>
      <c r="AA26" s="220"/>
      <c r="BB26" s="7">
        <f t="shared" si="8"/>
        <v>1</v>
      </c>
    </row>
    <row r="27" spans="1:54" ht="12.75">
      <c r="A27" s="221" t="s">
        <v>74</v>
      </c>
      <c r="B27" s="222">
        <v>0.15</v>
      </c>
      <c r="C27" s="223"/>
      <c r="D27" s="224" t="str">
        <f>IF(ISERROR(VLOOKUP($A27,'[1]liste reference'!$A$7:$D$906,2,0)),IF(ISERROR(VLOOKUP($A27,'[1]liste reference'!$B$7:$D$906,1,0)),"",VLOOKUP($A27,'[1]liste reference'!$B$7:$D$906,1,0)),VLOOKUP($A27,'[1]liste reference'!$A$7:$D$906,2,0))</f>
        <v>Oscillatoria sp.       </v>
      </c>
      <c r="E27" s="224" t="e">
        <f>IF(D27="",,VLOOKUP(D27,D$22:D26,1,0))</f>
        <v>#N/A</v>
      </c>
      <c r="F27" s="225">
        <f t="shared" si="1"/>
        <v>0.15</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11</v>
      </c>
      <c r="J27" s="210">
        <f>IF(ISNUMBER(H27),IF(ISERROR(VLOOKUP($A27,'[1]liste reference'!$A$7:$P$906,4,0)),IF(ISERROR(VLOOKUP($A27,'[1]liste reference'!$B$7:$P$906,3,0)),"",VLOOKUP($A27,'[1]liste reference'!$B$7:$P$906,3,0)),VLOOKUP($A27,'[1]liste reference'!$A$7:$P$906,4,0)),"")</f>
        <v>1</v>
      </c>
      <c r="K27" s="228" t="str">
        <f>IF(A27="NEW.COD",AA27,IF(ISTEXT($E27),"DEJA SAISI !",IF(A27="","",IF(ISERROR(VLOOKUP($A27,'[1]liste reference'!$A$7:$D$906,2,0)),IF(ISERROR(VLOOKUP($A27,'[1]liste reference'!$B$7:$D$906,1,0)),"code non répertorié ou synonyme",VLOOKUP($A27,'[1]liste reference'!$B$7:$D$906,1,0)),VLOOKUP(A27,'[1]liste reference'!$A$7:$D$906,2,0)))))</f>
        <v>Oscillatoria sp.       </v>
      </c>
      <c r="L27" s="229"/>
      <c r="M27" s="229"/>
      <c r="N27" s="229"/>
      <c r="O27" s="230"/>
      <c r="P27" s="214">
        <f t="shared" si="2"/>
        <v>0.15</v>
      </c>
      <c r="Q27" s="215">
        <f t="shared" si="3"/>
        <v>2</v>
      </c>
      <c r="R27" s="215">
        <f t="shared" si="4"/>
        <v>22</v>
      </c>
      <c r="S27" s="215">
        <f t="shared" si="5"/>
        <v>22</v>
      </c>
      <c r="T27" s="231">
        <f t="shared" si="6"/>
        <v>2</v>
      </c>
      <c r="U27" s="216">
        <f t="shared" si="7"/>
      </c>
      <c r="V27" s="217" t="s">
        <v>50</v>
      </c>
      <c r="X27" s="218" t="str">
        <f>IF(A27="new.cod","NEW.COD",IF(AND((Y27=""),ISTEXT(A27)),A27,IF(Y27="","",INDEX('[1]liste reference'!$A$7:$A$906,Y27))))</f>
        <v>OSC.SPX</v>
      </c>
      <c r="Y27" s="7">
        <f>IF(ISERROR(MATCH(A27,'[1]liste reference'!$A$7:$A$906,0)),IF(ISERROR(MATCH(A27,'[1]liste reference'!$B$7:$B$906,0)),"",(MATCH(A27,'[1]liste reference'!$B$7:$B$906,0))),(MATCH(A27,'[1]liste reference'!$A$7:$A$906,0)))</f>
        <v>57</v>
      </c>
      <c r="Z27" s="219"/>
      <c r="AA27" s="220"/>
      <c r="BB27" s="7">
        <f t="shared" si="8"/>
        <v>1</v>
      </c>
    </row>
    <row r="28" spans="1:54" ht="12.75">
      <c r="A28" s="221" t="s">
        <v>75</v>
      </c>
      <c r="B28" s="222">
        <v>0.01</v>
      </c>
      <c r="C28" s="223"/>
      <c r="D28" s="224" t="str">
        <f>IF(ISERROR(VLOOKUP($A28,'[1]liste reference'!$A$7:$D$906,2,0)),IF(ISERROR(VLOOKUP($A28,'[1]liste reference'!$B$7:$D$906,1,0)),"",VLOOKUP($A28,'[1]liste reference'!$B$7:$D$906,1,0)),VLOOKUP($A28,'[1]liste reference'!$A$7:$D$906,2,0))</f>
        <v>Rhizoclonium sp.       </v>
      </c>
      <c r="E28" s="224" t="e">
        <f>IF(D28="",,VLOOKUP(D28,D$21:D27,1,0))</f>
        <v>#N/A</v>
      </c>
      <c r="F28" s="225">
        <f t="shared" si="1"/>
        <v>0.01</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4</v>
      </c>
      <c r="J28" s="210">
        <f>IF(ISNUMBER(H28),IF(ISERROR(VLOOKUP($A28,'[1]liste reference'!$A$7:$P$906,4,0)),IF(ISERROR(VLOOKUP($A28,'[1]liste reference'!$B$7:$P$906,3,0)),"",VLOOKUP($A28,'[1]liste reference'!$B$7:$P$906,3,0)),VLOOKUP($A28,'[1]liste reference'!$A$7:$P$906,4,0)),"")</f>
        <v>2</v>
      </c>
      <c r="K28" s="228" t="str">
        <f>IF(A28="NEW.COD",AA28,IF(ISTEXT($E28),"DEJA SAISI !",IF(A28="","",IF(ISERROR(VLOOKUP($A28,'[1]liste reference'!$A$7:$D$906,2,0)),IF(ISERROR(VLOOKUP($A28,'[1]liste reference'!$B$7:$D$906,1,0)),"code non répertorié ou synonyme",VLOOKUP($A28,'[1]liste reference'!$B$7:$D$906,1,0)),VLOOKUP(A28,'[1]liste reference'!$A$7:$D$906,2,0)))))</f>
        <v>Rhizoclonium sp.       </v>
      </c>
      <c r="L28" s="229"/>
      <c r="M28" s="229"/>
      <c r="N28" s="229"/>
      <c r="O28" s="230"/>
      <c r="P28" s="214">
        <f t="shared" si="2"/>
        <v>0.01</v>
      </c>
      <c r="Q28" s="215">
        <f t="shared" si="3"/>
        <v>1</v>
      </c>
      <c r="R28" s="215">
        <f t="shared" si="4"/>
        <v>4</v>
      </c>
      <c r="S28" s="215">
        <f t="shared" si="5"/>
        <v>8</v>
      </c>
      <c r="T28" s="231">
        <f t="shared" si="6"/>
        <v>2</v>
      </c>
      <c r="U28" s="216">
        <f t="shared" si="7"/>
      </c>
      <c r="V28" s="217" t="s">
        <v>50</v>
      </c>
      <c r="W28" s="232"/>
      <c r="X28" s="218" t="str">
        <f>IF(A28="new.cod","NEW.COD",IF(AND((Y28=""),ISTEXT(A28)),A28,IF(Y28="","",INDEX('[1]liste reference'!$A$7:$A$906,Y28))))</f>
        <v>RHI.SPX</v>
      </c>
      <c r="Y28" s="7">
        <f>IF(ISERROR(MATCH(A28,'[1]liste reference'!$A$7:$A$906,0)),IF(ISERROR(MATCH(A28,'[1]liste reference'!$B$7:$B$906,0)),"",(MATCH(A28,'[1]liste reference'!$B$7:$B$906,0))),(MATCH(A28,'[1]liste reference'!$A$7:$A$906,0)))</f>
        <v>63</v>
      </c>
      <c r="Z28" s="219"/>
      <c r="AA28" s="220"/>
      <c r="BB28" s="7">
        <f t="shared" si="8"/>
        <v>1</v>
      </c>
    </row>
    <row r="29" spans="1:54" ht="12.75">
      <c r="A29" s="221" t="s">
        <v>76</v>
      </c>
      <c r="B29" s="222">
        <v>0.05</v>
      </c>
      <c r="C29" s="223"/>
      <c r="D29" s="224" t="str">
        <f>IF(ISERROR(VLOOKUP($A29,'[1]liste reference'!$A$7:$D$906,2,0)),IF(ISERROR(VLOOKUP($A29,'[1]liste reference'!$B$7:$D$906,1,0)),"",VLOOKUP($A29,'[1]liste reference'!$B$7:$D$906,1,0)),VLOOKUP($A29,'[1]liste reference'!$A$7:$D$906,2,0))</f>
        <v>Cinclidotus fontinaloides</v>
      </c>
      <c r="E29" s="224" t="e">
        <f>IF(D29="",,VLOOKUP(D29,D$22:D28,1,0))</f>
        <v>#N/A</v>
      </c>
      <c r="F29" s="225">
        <f t="shared" si="1"/>
        <v>0.05</v>
      </c>
      <c r="G29" s="226" t="str">
        <f>IF(A29="","",IF(ISERROR(VLOOKUP($A29,'[1]liste reference'!$A$7:$P$906,13,0)),IF(ISERROR(VLOOKUP($A29,'[1]liste reference'!$B$7:$P$906,12,0)),"    -",VLOOKUP($A29,'[1]liste reference'!$B$7:$P$906,12,0)),VLOOKUP($A29,'[1]liste reference'!$A$7:$P$906,13,0)))</f>
        <v>BRm</v>
      </c>
      <c r="H29" s="208">
        <f>IF(A29="","x",IF(ISERROR(VLOOKUP($A29,'[1]liste reference'!$A$7:$P$906,14,0)),IF(ISERROR(VLOOKUP($A29,'[1]liste reference'!$B$7:$P$906,13,0)),"x",VLOOKUP($A29,'[1]liste reference'!$B$7:$P$906,13,0)),VLOOKUP($A29,'[1]liste reference'!$A$7:$P$906,14,0)))</f>
        <v>5</v>
      </c>
      <c r="I29" s="227">
        <f>IF(ISNUMBER(H29),IF(ISERROR(VLOOKUP($A29,'[1]liste reference'!$A$7:$P$906,3,0)),IF(ISERROR(VLOOKUP($A29,'[1]liste reference'!$B$7:$P$906,2,0)),"",VLOOKUP($A29,'[1]liste reference'!$B$7:$P$906,2,0)),VLOOKUP($A29,'[1]liste reference'!$A$7:$P$906,3,0)),"")</f>
        <v>12</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Cinclidotus fontinaloides</v>
      </c>
      <c r="L29" s="229"/>
      <c r="M29" s="229"/>
      <c r="N29" s="229"/>
      <c r="O29" s="230"/>
      <c r="P29" s="214">
        <f t="shared" si="2"/>
        <v>0.05</v>
      </c>
      <c r="Q29" s="215">
        <f t="shared" si="3"/>
        <v>1</v>
      </c>
      <c r="R29" s="215">
        <f t="shared" si="4"/>
        <v>12</v>
      </c>
      <c r="S29" s="215">
        <f t="shared" si="5"/>
        <v>24</v>
      </c>
      <c r="T29" s="231">
        <f t="shared" si="6"/>
        <v>2</v>
      </c>
      <c r="U29" s="216">
        <f t="shared" si="7"/>
      </c>
      <c r="V29" s="217" t="s">
        <v>50</v>
      </c>
      <c r="X29" s="218" t="str">
        <f>IF(A29="new.cod","NEW.COD",IF(AND((Y29=""),ISTEXT(A29)),A29,IF(Y29="","",INDEX('[1]liste reference'!$A$7:$A$906,Y29))))</f>
        <v>CIN.FON</v>
      </c>
      <c r="Y29" s="7">
        <f>IF(ISERROR(MATCH(A29,'[1]liste reference'!$A$7:$A$906,0)),IF(ISERROR(MATCH(A29,'[1]liste reference'!$B$7:$B$906,0)),"",(MATCH(A29,'[1]liste reference'!$B$7:$B$906,0))),(MATCH(A29,'[1]liste reference'!$A$7:$A$906,0)))</f>
        <v>173</v>
      </c>
      <c r="Z29" s="219"/>
      <c r="AA29" s="220"/>
      <c r="BB29" s="7">
        <f t="shared" si="8"/>
        <v>1</v>
      </c>
    </row>
    <row r="30" spans="1:54" ht="12.75">
      <c r="A30" s="221" t="s">
        <v>77</v>
      </c>
      <c r="B30" s="222">
        <v>0.5</v>
      </c>
      <c r="C30" s="223"/>
      <c r="D30" s="224" t="str">
        <f>IF(ISERROR(VLOOKUP($A30,'[1]liste reference'!$A$7:$D$906,2,0)),IF(ISERROR(VLOOKUP($A30,'[1]liste reference'!$B$7:$D$906,1,0)),"",VLOOKUP($A30,'[1]liste reference'!$B$7:$D$906,1,0)),VLOOKUP($A30,'[1]liste reference'!$A$7:$D$906,2,0))</f>
        <v>Fissidens crassipes</v>
      </c>
      <c r="E30" s="224" t="e">
        <f>IF(D30="",,VLOOKUP(D30,D$22:D29,1,0))</f>
        <v>#N/A</v>
      </c>
      <c r="F30" s="225">
        <f t="shared" si="1"/>
        <v>0.5</v>
      </c>
      <c r="G30" s="226" t="str">
        <f>IF(A30="","",IF(ISERROR(VLOOKUP($A30,'[1]liste reference'!$A$7:$P$906,13,0)),IF(ISERROR(VLOOKUP($A30,'[1]liste reference'!$B$7:$P$906,12,0)),"    -",VLOOKUP($A30,'[1]liste reference'!$B$7:$P$906,12,0)),VLOOKUP($A30,'[1]liste reference'!$A$7:$P$906,13,0)))</f>
        <v>BRm</v>
      </c>
      <c r="H30" s="208">
        <f>IF(A30="","x",IF(ISERROR(VLOOKUP($A30,'[1]liste reference'!$A$7:$P$906,14,0)),IF(ISERROR(VLOOKUP($A30,'[1]liste reference'!$B$7:$P$906,13,0)),"x",VLOOKUP($A30,'[1]liste reference'!$B$7:$P$906,13,0)),VLOOKUP($A30,'[1]liste reference'!$A$7:$P$906,14,0)))</f>
        <v>5</v>
      </c>
      <c r="I30" s="227">
        <f>IF(ISNUMBER(H30),IF(ISERROR(VLOOKUP($A30,'[1]liste reference'!$A$7:$P$906,3,0)),IF(ISERROR(VLOOKUP($A30,'[1]liste reference'!$B$7:$P$906,2,0)),"",VLOOKUP($A30,'[1]liste reference'!$B$7:$P$906,2,0)),VLOOKUP($A30,'[1]liste reference'!$A$7:$P$906,3,0)),"")</f>
        <v>12</v>
      </c>
      <c r="J30" s="210">
        <f>IF(ISNUMBER(H30),IF(ISERROR(VLOOKUP($A30,'[1]liste reference'!$A$7:$P$906,4,0)),IF(ISERROR(VLOOKUP($A30,'[1]liste reference'!$B$7:$P$906,3,0)),"",VLOOKUP($A30,'[1]liste reference'!$B$7:$P$906,3,0)),VLOOKUP($A30,'[1]liste reference'!$A$7:$P$906,4,0)),"")</f>
        <v>2</v>
      </c>
      <c r="K30" s="228" t="str">
        <f>IF(A30="NEW.COD",AA30,IF(ISTEXT($E30),"DEJA SAISI !",IF(A30="","",IF(ISERROR(VLOOKUP($A30,'[1]liste reference'!$A$7:$D$906,2,0)),IF(ISERROR(VLOOKUP($A30,'[1]liste reference'!$B$7:$D$906,1,0)),"code non répertorié ou synonyme",VLOOKUP($A30,'[1]liste reference'!$B$7:$D$906,1,0)),VLOOKUP(A30,'[1]liste reference'!$A$7:$D$906,2,0)))))</f>
        <v>Fissidens crassipes</v>
      </c>
      <c r="L30" s="229"/>
      <c r="M30" s="229"/>
      <c r="N30" s="229"/>
      <c r="O30" s="230"/>
      <c r="P30" s="214">
        <f t="shared" si="2"/>
        <v>0.5</v>
      </c>
      <c r="Q30" s="215">
        <f t="shared" si="3"/>
        <v>2</v>
      </c>
      <c r="R30" s="215">
        <f t="shared" si="4"/>
        <v>24</v>
      </c>
      <c r="S30" s="215">
        <f t="shared" si="5"/>
        <v>48</v>
      </c>
      <c r="T30" s="231">
        <f t="shared" si="6"/>
        <v>4</v>
      </c>
      <c r="U30" s="216">
        <f t="shared" si="7"/>
      </c>
      <c r="V30" s="217" t="s">
        <v>50</v>
      </c>
      <c r="X30" s="218" t="str">
        <f>IF(A30="new.cod","NEW.COD",IF(AND((Y30=""),ISTEXT(A30)),A30,IF(Y30="","",INDEX('[1]liste reference'!$A$7:$A$906,Y30))))</f>
        <v>FIS.CRA</v>
      </c>
      <c r="Y30" s="7">
        <f>IF(ISERROR(MATCH(A30,'[1]liste reference'!$A$7:$A$906,0)),IF(ISERROR(MATCH(A30,'[1]liste reference'!$B$7:$B$906,0)),"",(MATCH(A30,'[1]liste reference'!$B$7:$B$906,0))),(MATCH(A30,'[1]liste reference'!$A$7:$A$906,0)))</f>
        <v>198</v>
      </c>
      <c r="Z30" s="219"/>
      <c r="AA30" s="220"/>
      <c r="BB30" s="7">
        <f t="shared" si="8"/>
        <v>1</v>
      </c>
    </row>
    <row r="31" spans="1:54" ht="12.75">
      <c r="A31" s="221" t="s">
        <v>50</v>
      </c>
      <c r="B31" s="222"/>
      <c r="C31" s="223"/>
      <c r="D31" s="224">
        <f>IF(ISERROR(VLOOKUP($A31,'[1]liste reference'!$A$7:$D$906,2,0)),IF(ISERROR(VLOOKUP($A31,'[1]liste reference'!$B$7:$D$906,1,0)),"",VLOOKUP($A31,'[1]liste reference'!$B$7:$D$906,1,0)),VLOOKUP($A31,'[1]liste reference'!$A$7:$D$906,2,0))</f>
      </c>
      <c r="E31" s="224">
        <f>IF(D31="",,VLOOKUP(D31,D$22:D30,1,0))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30"/>
      <c r="P31" s="214">
        <f t="shared" si="2"/>
      </c>
      <c r="Q31" s="215">
        <f t="shared" si="3"/>
      </c>
      <c r="R31" s="215">
        <f t="shared" si="4"/>
        <v>0</v>
      </c>
      <c r="S31" s="215">
        <f t="shared" si="5"/>
        <v>0</v>
      </c>
      <c r="T31" s="231">
        <f t="shared" si="6"/>
        <v>0</v>
      </c>
      <c r="U31" s="216">
        <f t="shared" si="7"/>
      </c>
      <c r="V31" s="217" t="s">
        <v>50</v>
      </c>
      <c r="W31" s="217"/>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30"/>
      <c r="P32" s="214">
        <f t="shared" si="2"/>
      </c>
      <c r="Q32" s="215">
        <f t="shared" si="3"/>
      </c>
      <c r="R32" s="215">
        <f t="shared" si="4"/>
        <v>0</v>
      </c>
      <c r="S32" s="215">
        <f t="shared" si="5"/>
        <v>0</v>
      </c>
      <c r="T32" s="231">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29"/>
      <c r="M33" s="229"/>
      <c r="N33" s="229"/>
      <c r="O33" s="230"/>
      <c r="P33" s="214">
        <f t="shared" si="2"/>
      </c>
      <c r="Q33" s="215">
        <f t="shared" si="3"/>
      </c>
      <c r="R33" s="215">
        <f t="shared" si="4"/>
        <v>0</v>
      </c>
      <c r="S33" s="215">
        <f t="shared" si="5"/>
        <v>0</v>
      </c>
      <c r="T33" s="231">
        <f t="shared" si="6"/>
        <v>0</v>
      </c>
      <c r="U33" s="216">
        <f t="shared" si="7"/>
      </c>
      <c r="V33" s="217" t="s">
        <v>50</v>
      </c>
      <c r="W33" s="217"/>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3">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29"/>
      <c r="M34" s="229"/>
      <c r="N34" s="229"/>
      <c r="O34" s="230"/>
      <c r="P34" s="214">
        <f t="shared" si="2"/>
      </c>
      <c r="Q34" s="215">
        <f t="shared" si="3"/>
      </c>
      <c r="R34" s="215">
        <f t="shared" si="4"/>
        <v>0</v>
      </c>
      <c r="S34" s="215">
        <f t="shared" si="5"/>
        <v>0</v>
      </c>
      <c r="T34" s="231">
        <f t="shared" si="6"/>
        <v>0</v>
      </c>
      <c r="U34" s="216">
        <f t="shared" si="7"/>
      </c>
      <c r="V34" s="234"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3">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30"/>
      <c r="P35" s="214">
        <f t="shared" si="2"/>
      </c>
      <c r="Q35" s="215">
        <f t="shared" si="3"/>
      </c>
      <c r="R35" s="215">
        <f t="shared" si="4"/>
        <v>0</v>
      </c>
      <c r="S35" s="215">
        <f t="shared" si="5"/>
        <v>0</v>
      </c>
      <c r="T35" s="231">
        <f t="shared" si="6"/>
        <v>0</v>
      </c>
      <c r="U35" s="216">
        <f t="shared" si="7"/>
      </c>
      <c r="V35" s="217" t="s">
        <v>50</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3">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30"/>
      <c r="P36" s="214">
        <f t="shared" si="2"/>
      </c>
      <c r="Q36" s="215">
        <f t="shared" si="3"/>
      </c>
      <c r="R36" s="215">
        <f t="shared" si="4"/>
        <v>0</v>
      </c>
      <c r="S36" s="215">
        <f t="shared" si="5"/>
        <v>0</v>
      </c>
      <c r="T36" s="231">
        <f t="shared" si="6"/>
        <v>0</v>
      </c>
      <c r="U36" s="216">
        <f t="shared" si="7"/>
      </c>
      <c r="V36" s="217" t="s">
        <v>50</v>
      </c>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3">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30"/>
      <c r="P37" s="214">
        <f t="shared" si="2"/>
      </c>
      <c r="Q37" s="215">
        <f t="shared" si="3"/>
      </c>
      <c r="R37" s="215">
        <f t="shared" si="4"/>
        <v>0</v>
      </c>
      <c r="S37" s="215">
        <f t="shared" si="5"/>
        <v>0</v>
      </c>
      <c r="T37" s="231">
        <f t="shared" si="6"/>
        <v>0</v>
      </c>
      <c r="U37" s="216">
        <f t="shared" si="7"/>
      </c>
      <c r="V37" s="217" t="s">
        <v>50</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3">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30"/>
      <c r="P38" s="214">
        <f t="shared" si="2"/>
      </c>
      <c r="Q38" s="215">
        <f t="shared" si="3"/>
      </c>
      <c r="R38" s="215">
        <f t="shared" si="4"/>
        <v>0</v>
      </c>
      <c r="S38" s="215">
        <f t="shared" si="5"/>
        <v>0</v>
      </c>
      <c r="T38" s="231">
        <f t="shared" si="6"/>
        <v>0</v>
      </c>
      <c r="U38" s="216">
        <f t="shared" si="7"/>
      </c>
      <c r="V38" s="217" t="s">
        <v>50</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3">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30"/>
      <c r="P39" s="214">
        <f t="shared" si="2"/>
      </c>
      <c r="Q39" s="215">
        <f t="shared" si="3"/>
      </c>
      <c r="R39" s="215">
        <f t="shared" si="4"/>
        <v>0</v>
      </c>
      <c r="S39" s="215">
        <f t="shared" si="5"/>
        <v>0</v>
      </c>
      <c r="T39" s="231">
        <f t="shared" si="6"/>
        <v>0</v>
      </c>
      <c r="U39" s="216">
        <f t="shared" si="7"/>
      </c>
      <c r="V39" s="217"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3">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30"/>
      <c r="P40" s="214">
        <f t="shared" si="2"/>
      </c>
      <c r="Q40" s="215">
        <f t="shared" si="3"/>
      </c>
      <c r="R40" s="215">
        <f t="shared" si="4"/>
        <v>0</v>
      </c>
      <c r="S40" s="215">
        <f t="shared" si="5"/>
        <v>0</v>
      </c>
      <c r="T40" s="231">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3">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30"/>
      <c r="P41" s="214">
        <f t="shared" si="2"/>
      </c>
      <c r="Q41" s="215">
        <f t="shared" si="3"/>
      </c>
      <c r="R41" s="215">
        <f t="shared" si="4"/>
        <v>0</v>
      </c>
      <c r="S41" s="215">
        <f t="shared" si="5"/>
        <v>0</v>
      </c>
      <c r="T41" s="231">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3">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30"/>
      <c r="P42" s="214">
        <f t="shared" si="2"/>
      </c>
      <c r="Q42" s="215">
        <f t="shared" si="3"/>
      </c>
      <c r="R42" s="215">
        <f t="shared" si="4"/>
        <v>0</v>
      </c>
      <c r="S42" s="215">
        <f t="shared" si="5"/>
        <v>0</v>
      </c>
      <c r="T42" s="231">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3">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30"/>
      <c r="P43" s="214">
        <f t="shared" si="2"/>
      </c>
      <c r="Q43" s="215">
        <f t="shared" si="3"/>
      </c>
      <c r="R43" s="215">
        <f t="shared" si="4"/>
        <v>0</v>
      </c>
      <c r="S43" s="215">
        <f t="shared" si="5"/>
        <v>0</v>
      </c>
      <c r="T43" s="231">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3">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30"/>
      <c r="P44" s="214">
        <f t="shared" si="2"/>
      </c>
      <c r="Q44" s="215">
        <f t="shared" si="3"/>
      </c>
      <c r="R44" s="215">
        <f t="shared" si="4"/>
        <v>0</v>
      </c>
      <c r="S44" s="215">
        <f t="shared" si="5"/>
        <v>0</v>
      </c>
      <c r="T44" s="231">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3">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30"/>
      <c r="P45" s="214">
        <f t="shared" si="2"/>
      </c>
      <c r="Q45" s="215">
        <f t="shared" si="3"/>
      </c>
      <c r="R45" s="215">
        <f t="shared" si="4"/>
        <v>0</v>
      </c>
      <c r="S45" s="215">
        <f t="shared" si="5"/>
        <v>0</v>
      </c>
      <c r="T45" s="231">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3">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30"/>
      <c r="P46" s="214">
        <f t="shared" si="2"/>
      </c>
      <c r="Q46" s="215">
        <f t="shared" si="3"/>
      </c>
      <c r="R46" s="215">
        <f t="shared" si="4"/>
        <v>0</v>
      </c>
      <c r="S46" s="215">
        <f t="shared" si="5"/>
        <v>0</v>
      </c>
      <c r="T46" s="231">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3">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30"/>
      <c r="P47" s="214">
        <f t="shared" si="2"/>
      </c>
      <c r="Q47" s="215">
        <f t="shared" si="3"/>
      </c>
      <c r="R47" s="215">
        <f t="shared" si="4"/>
        <v>0</v>
      </c>
      <c r="S47" s="215">
        <f t="shared" si="5"/>
        <v>0</v>
      </c>
      <c r="T47" s="231">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3">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30"/>
      <c r="P48" s="214">
        <f t="shared" si="2"/>
      </c>
      <c r="Q48" s="215">
        <f t="shared" si="3"/>
      </c>
      <c r="R48" s="215">
        <f t="shared" si="4"/>
        <v>0</v>
      </c>
      <c r="S48" s="215">
        <f t="shared" si="5"/>
        <v>0</v>
      </c>
      <c r="T48" s="231">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3">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30"/>
      <c r="P49" s="214">
        <f t="shared" si="2"/>
      </c>
      <c r="Q49" s="215">
        <f t="shared" si="3"/>
      </c>
      <c r="R49" s="215">
        <f t="shared" si="4"/>
        <v>0</v>
      </c>
      <c r="S49" s="215">
        <f t="shared" si="5"/>
        <v>0</v>
      </c>
      <c r="T49" s="231">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3">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30"/>
      <c r="P50" s="214">
        <f t="shared" si="2"/>
      </c>
      <c r="Q50" s="215">
        <f t="shared" si="3"/>
      </c>
      <c r="R50" s="215">
        <f t="shared" si="4"/>
        <v>0</v>
      </c>
      <c r="S50" s="215">
        <f t="shared" si="5"/>
        <v>0</v>
      </c>
      <c r="T50" s="231">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3">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30"/>
      <c r="P51" s="214">
        <f t="shared" si="2"/>
      </c>
      <c r="Q51" s="215">
        <f t="shared" si="3"/>
      </c>
      <c r="R51" s="215">
        <f t="shared" si="4"/>
        <v>0</v>
      </c>
      <c r="S51" s="215">
        <f t="shared" si="5"/>
        <v>0</v>
      </c>
      <c r="T51" s="231">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3">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30"/>
      <c r="P52" s="214">
        <f t="shared" si="2"/>
      </c>
      <c r="Q52" s="215">
        <f t="shared" si="3"/>
      </c>
      <c r="R52" s="215">
        <f t="shared" si="4"/>
        <v>0</v>
      </c>
      <c r="S52" s="215">
        <f t="shared" si="5"/>
        <v>0</v>
      </c>
      <c r="T52" s="231">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3">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30"/>
      <c r="P53" s="214">
        <f t="shared" si="2"/>
      </c>
      <c r="Q53" s="215">
        <f t="shared" si="3"/>
      </c>
      <c r="R53" s="215">
        <f t="shared" si="4"/>
        <v>0</v>
      </c>
      <c r="S53" s="215">
        <f t="shared" si="5"/>
        <v>0</v>
      </c>
      <c r="T53" s="231">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3">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30"/>
      <c r="P54" s="214">
        <f t="shared" si="2"/>
      </c>
      <c r="Q54" s="215">
        <f t="shared" si="3"/>
      </c>
      <c r="R54" s="215">
        <f t="shared" si="4"/>
        <v>0</v>
      </c>
      <c r="S54" s="215">
        <f t="shared" si="5"/>
        <v>0</v>
      </c>
      <c r="T54" s="231">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3">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30"/>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1">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IF(D56="",,VLOOKUP(D56,D$22:D49,1,0))</f>
        <v>0</v>
      </c>
      <c r="F56" s="233">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30"/>
      <c r="P56" s="214">
        <f t="shared" si="10"/>
      </c>
      <c r="Q56" s="215">
        <f t="shared" si="11"/>
      </c>
      <c r="R56" s="215">
        <f t="shared" si="12"/>
        <v>0</v>
      </c>
      <c r="S56" s="215">
        <f t="shared" si="13"/>
        <v>0</v>
      </c>
      <c r="T56" s="231">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IF(D57="",,VLOOKUP(D57,D$22:D49,1,0))</f>
        <v>0</v>
      </c>
      <c r="F57" s="233">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30"/>
      <c r="P57" s="214">
        <f t="shared" si="10"/>
      </c>
      <c r="Q57" s="215">
        <f t="shared" si="11"/>
      </c>
      <c r="R57" s="215">
        <f t="shared" si="12"/>
        <v>0</v>
      </c>
      <c r="S57" s="215">
        <f t="shared" si="13"/>
        <v>0</v>
      </c>
      <c r="T57" s="231">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IF(D58="",,VLOOKUP(D58,D$22:D50,1,0))</f>
        <v>0</v>
      </c>
      <c r="F58" s="233">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30"/>
      <c r="P58" s="214">
        <f t="shared" si="10"/>
      </c>
      <c r="Q58" s="215">
        <f t="shared" si="11"/>
      </c>
      <c r="R58" s="215">
        <f t="shared" si="12"/>
        <v>0</v>
      </c>
      <c r="S58" s="215">
        <f t="shared" si="13"/>
        <v>0</v>
      </c>
      <c r="T58" s="231">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IF(D59="",,VLOOKUP(D59,D$22:D47,1,0))</f>
        <v>0</v>
      </c>
      <c r="F59" s="233">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30"/>
      <c r="P59" s="214">
        <f t="shared" si="10"/>
      </c>
      <c r="Q59" s="215">
        <f t="shared" si="11"/>
      </c>
      <c r="R59" s="215">
        <f t="shared" si="12"/>
        <v>0</v>
      </c>
      <c r="S59" s="215">
        <f t="shared" si="13"/>
        <v>0</v>
      </c>
      <c r="T59" s="231">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IF(D60="",,VLOOKUP(D60,D$22:D48,1,0))</f>
        <v>0</v>
      </c>
      <c r="F60" s="233">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30"/>
      <c r="P60" s="214">
        <f t="shared" si="10"/>
      </c>
      <c r="Q60" s="215">
        <f t="shared" si="11"/>
      </c>
      <c r="R60" s="215">
        <f t="shared" si="12"/>
        <v>0</v>
      </c>
      <c r="S60" s="215">
        <f t="shared" si="13"/>
        <v>0</v>
      </c>
      <c r="T60" s="231">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IF(D61="",,VLOOKUP(D61,D$22:D46,1,0))</f>
        <v>0</v>
      </c>
      <c r="F61" s="233">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30"/>
      <c r="P61" s="214">
        <f t="shared" si="10"/>
      </c>
      <c r="Q61" s="215">
        <f t="shared" si="11"/>
      </c>
      <c r="R61" s="215">
        <f t="shared" si="12"/>
        <v>0</v>
      </c>
      <c r="S61" s="215">
        <f t="shared" si="13"/>
        <v>0</v>
      </c>
      <c r="T61" s="231">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IF(D62="",,VLOOKUP(D62,D$22:D47,1,0))</f>
        <v>0</v>
      </c>
      <c r="F62" s="233">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30"/>
      <c r="P62" s="214">
        <f t="shared" si="10"/>
      </c>
      <c r="Q62" s="215">
        <f t="shared" si="11"/>
      </c>
      <c r="R62" s="215">
        <f t="shared" si="12"/>
        <v>0</v>
      </c>
      <c r="S62" s="215">
        <f t="shared" si="13"/>
        <v>0</v>
      </c>
      <c r="T62" s="231">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IF(D63="",,VLOOKUP(D63,D$22:D48,1,0))</f>
        <v>0</v>
      </c>
      <c r="F63" s="233">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30"/>
      <c r="P63" s="214">
        <f t="shared" si="10"/>
      </c>
      <c r="Q63" s="215">
        <f t="shared" si="11"/>
      </c>
      <c r="R63" s="215">
        <f t="shared" si="12"/>
        <v>0</v>
      </c>
      <c r="S63" s="215">
        <f t="shared" si="13"/>
        <v>0</v>
      </c>
      <c r="T63" s="231">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IF(D64="",,VLOOKUP(D64,D$22:D49,1,0))</f>
        <v>0</v>
      </c>
      <c r="F64" s="233">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30"/>
      <c r="P64" s="214">
        <f t="shared" si="10"/>
      </c>
      <c r="Q64" s="215">
        <f t="shared" si="11"/>
      </c>
      <c r="R64" s="215">
        <f t="shared" si="12"/>
        <v>0</v>
      </c>
      <c r="S64" s="215">
        <f t="shared" si="13"/>
        <v>0</v>
      </c>
      <c r="T64" s="231">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IF(D65="",,VLOOKUP(D65,D$22:D50,1,0))</f>
        <v>0</v>
      </c>
      <c r="F65" s="233">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30"/>
      <c r="P65" s="214">
        <f t="shared" si="10"/>
      </c>
      <c r="Q65" s="215">
        <f t="shared" si="11"/>
      </c>
      <c r="R65" s="215">
        <f t="shared" si="12"/>
        <v>0</v>
      </c>
      <c r="S65" s="215">
        <f t="shared" si="13"/>
        <v>0</v>
      </c>
      <c r="T65" s="231">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IF(D66="",,VLOOKUP(D66,D$22:D50,1,0))</f>
        <v>0</v>
      </c>
      <c r="F66" s="233">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30"/>
      <c r="P66" s="214">
        <f t="shared" si="10"/>
      </c>
      <c r="Q66" s="215">
        <f t="shared" si="11"/>
      </c>
      <c r="R66" s="215">
        <f t="shared" si="12"/>
        <v>0</v>
      </c>
      <c r="S66" s="215">
        <f t="shared" si="13"/>
        <v>0</v>
      </c>
      <c r="T66" s="231">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IF(D67="",,VLOOKUP(D67,D$22:D51,1,0))</f>
        <v>0</v>
      </c>
      <c r="F67" s="233">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30"/>
      <c r="P67" s="214">
        <f t="shared" si="10"/>
      </c>
      <c r="Q67" s="215">
        <f t="shared" si="11"/>
      </c>
      <c r="R67" s="215">
        <f t="shared" si="12"/>
        <v>0</v>
      </c>
      <c r="S67" s="215">
        <f t="shared" si="13"/>
        <v>0</v>
      </c>
      <c r="T67" s="231">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IF(D68="",,VLOOKUP(D68,D$22:D51,1,0))</f>
        <v>0</v>
      </c>
      <c r="F68" s="233">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30"/>
      <c r="P68" s="214">
        <f t="shared" si="10"/>
      </c>
      <c r="Q68" s="215">
        <f t="shared" si="11"/>
      </c>
      <c r="R68" s="215">
        <f t="shared" si="12"/>
        <v>0</v>
      </c>
      <c r="S68" s="215">
        <f t="shared" si="13"/>
        <v>0</v>
      </c>
      <c r="T68" s="231">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IF(D69="",,VLOOKUP(D69,D$22:D67,1,0))</f>
        <v>0</v>
      </c>
      <c r="F69" s="233">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30"/>
      <c r="P69" s="214">
        <f t="shared" si="10"/>
      </c>
      <c r="Q69" s="215">
        <f t="shared" si="11"/>
      </c>
      <c r="R69" s="215">
        <f t="shared" si="12"/>
        <v>0</v>
      </c>
      <c r="S69" s="215">
        <f t="shared" si="13"/>
        <v>0</v>
      </c>
      <c r="T69" s="231">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IF(D70="",,VLOOKUP(D70,D$22:D67,1,0))</f>
        <v>0</v>
      </c>
      <c r="F70" s="233">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30"/>
      <c r="P70" s="214">
        <f t="shared" si="10"/>
      </c>
      <c r="Q70" s="215">
        <f t="shared" si="11"/>
      </c>
      <c r="R70" s="215">
        <f t="shared" si="12"/>
        <v>0</v>
      </c>
      <c r="S70" s="215">
        <f t="shared" si="13"/>
        <v>0</v>
      </c>
      <c r="T70" s="231">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IF(D71="",,VLOOKUP(D71,D$22:D67,1,0))</f>
        <v>0</v>
      </c>
      <c r="F71" s="233">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30"/>
      <c r="P71" s="214">
        <f t="shared" si="10"/>
      </c>
      <c r="Q71" s="215">
        <f t="shared" si="11"/>
      </c>
      <c r="R71" s="215">
        <f t="shared" si="12"/>
        <v>0</v>
      </c>
      <c r="S71" s="215">
        <f t="shared" si="13"/>
        <v>0</v>
      </c>
      <c r="T71" s="231">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IF(D72="",,VLOOKUP(D72,D$22:D57,1,0))</f>
        <v>0</v>
      </c>
      <c r="F72" s="233">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30"/>
      <c r="P72" s="214">
        <f t="shared" si="10"/>
      </c>
      <c r="Q72" s="215">
        <f t="shared" si="11"/>
      </c>
      <c r="R72" s="215">
        <f t="shared" si="12"/>
        <v>0</v>
      </c>
      <c r="S72" s="215">
        <f t="shared" si="13"/>
        <v>0</v>
      </c>
      <c r="T72" s="231">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IF(D73="",,VLOOKUP(D73,D$22:D58,1,0))</f>
        <v>0</v>
      </c>
      <c r="F73" s="233">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30"/>
      <c r="P73" s="214">
        <f t="shared" si="10"/>
      </c>
      <c r="Q73" s="215">
        <f t="shared" si="11"/>
      </c>
      <c r="R73" s="215">
        <f t="shared" si="12"/>
        <v>0</v>
      </c>
      <c r="S73" s="215">
        <f t="shared" si="13"/>
        <v>0</v>
      </c>
      <c r="T73" s="231">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IF(D74="",,VLOOKUP(D74,D$22:D58,1,0))</f>
        <v>0</v>
      </c>
      <c r="F74" s="233">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30"/>
      <c r="P74" s="214">
        <f t="shared" si="10"/>
      </c>
      <c r="Q74" s="215">
        <f t="shared" si="11"/>
      </c>
      <c r="R74" s="215">
        <f t="shared" si="12"/>
        <v>0</v>
      </c>
      <c r="S74" s="215">
        <f t="shared" si="13"/>
        <v>0</v>
      </c>
      <c r="T74" s="231">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IF(D75="",,VLOOKUP(D75,D$22:D74,1,0))</f>
        <v>0</v>
      </c>
      <c r="F75" s="233">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30"/>
      <c r="P75" s="214">
        <f t="shared" si="10"/>
      </c>
      <c r="Q75" s="215">
        <f t="shared" si="11"/>
      </c>
      <c r="R75" s="215">
        <f t="shared" si="12"/>
        <v>0</v>
      </c>
      <c r="S75" s="215">
        <f t="shared" si="13"/>
        <v>0</v>
      </c>
      <c r="T75" s="231">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IF(D76="",,VLOOKUP(D76,D$21:D75,1,0))</f>
        <v>0</v>
      </c>
      <c r="F76" s="233">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35"/>
      <c r="M76" s="235"/>
      <c r="N76" s="235"/>
      <c r="O76" s="230"/>
      <c r="P76" s="214">
        <f t="shared" si="10"/>
      </c>
      <c r="Q76" s="215">
        <f t="shared" si="11"/>
      </c>
      <c r="R76" s="215">
        <f t="shared" si="12"/>
        <v>0</v>
      </c>
      <c r="S76" s="215">
        <f t="shared" si="13"/>
        <v>0</v>
      </c>
      <c r="T76" s="231">
        <f t="shared" si="14"/>
        <v>0</v>
      </c>
      <c r="U76" s="216">
        <f t="shared" si="15"/>
      </c>
      <c r="V76" s="217" t="s">
        <v>50</v>
      </c>
      <c r="W76" s="236"/>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IF(D77="",,VLOOKUP(D77,D$20:D75,1,0))</f>
        <v>0</v>
      </c>
      <c r="F77" s="233">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35"/>
      <c r="M77" s="235"/>
      <c r="N77" s="235"/>
      <c r="O77" s="213"/>
      <c r="P77" s="214">
        <f t="shared" si="10"/>
      </c>
      <c r="Q77" s="215">
        <f t="shared" si="11"/>
      </c>
      <c r="R77" s="215">
        <f t="shared" si="12"/>
        <v>0</v>
      </c>
      <c r="S77" s="215">
        <f t="shared" si="13"/>
        <v>0</v>
      </c>
      <c r="T77" s="231">
        <f t="shared" si="14"/>
        <v>0</v>
      </c>
      <c r="U77" s="216">
        <f t="shared" si="15"/>
      </c>
      <c r="V77" s="237" t="s">
        <v>50</v>
      </c>
      <c r="W77" s="238"/>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IF(D78="",,VLOOKUP(D78,D$22:D77,1,0))</f>
        <v>0</v>
      </c>
      <c r="F78" s="233">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30"/>
      <c r="P78" s="214">
        <f t="shared" si="10"/>
      </c>
      <c r="Q78" s="215">
        <f t="shared" si="11"/>
      </c>
      <c r="R78" s="215">
        <f t="shared" si="12"/>
        <v>0</v>
      </c>
      <c r="S78" s="215">
        <f t="shared" si="13"/>
        <v>0</v>
      </c>
      <c r="T78" s="231">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IF(D79="",,VLOOKUP(D79,D$22:D78,1,0))</f>
        <v>0</v>
      </c>
      <c r="F79" s="233">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30"/>
      <c r="P79" s="214">
        <f t="shared" si="10"/>
      </c>
      <c r="Q79" s="215">
        <f t="shared" si="11"/>
      </c>
      <c r="R79" s="215">
        <f t="shared" si="12"/>
        <v>0</v>
      </c>
      <c r="S79" s="215">
        <f t="shared" si="13"/>
        <v>0</v>
      </c>
      <c r="T79" s="231">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IF(D80="",,VLOOKUP(D80,D$22:D79,1,0))</f>
        <v>0</v>
      </c>
      <c r="F80" s="233">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30"/>
      <c r="P80" s="214">
        <f t="shared" si="10"/>
      </c>
      <c r="Q80" s="215">
        <f t="shared" si="11"/>
      </c>
      <c r="R80" s="215">
        <f t="shared" si="12"/>
        <v>0</v>
      </c>
      <c r="S80" s="215">
        <f t="shared" si="13"/>
        <v>0</v>
      </c>
      <c r="T80" s="231">
        <f t="shared" si="14"/>
        <v>0</v>
      </c>
      <c r="U80" s="216">
        <f t="shared" si="15"/>
      </c>
      <c r="V80" s="217" t="s">
        <v>50</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IF(D81="",,VLOOKUP(D81,D$22:D80,1,0))</f>
        <v>0</v>
      </c>
      <c r="F81" s="233">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29"/>
      <c r="M81" s="229"/>
      <c r="N81" s="229"/>
      <c r="O81" s="230"/>
      <c r="P81" s="214">
        <f t="shared" si="10"/>
      </c>
      <c r="Q81" s="215">
        <f t="shared" si="11"/>
      </c>
      <c r="R81" s="215">
        <f t="shared" si="12"/>
        <v>0</v>
      </c>
      <c r="S81" s="215">
        <f t="shared" si="13"/>
        <v>0</v>
      </c>
      <c r="T81" s="231">
        <f t="shared" si="14"/>
        <v>0</v>
      </c>
      <c r="U81" s="216">
        <f t="shared" si="15"/>
      </c>
      <c r="V81" s="217" t="s">
        <v>50</v>
      </c>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9" t="s">
        <v>50</v>
      </c>
      <c r="B82" s="240"/>
      <c r="C82" s="241"/>
      <c r="D82" s="242">
        <f>IF(ISERROR(VLOOKUP($A82,'[1]liste reference'!$A$7:$D$906,2,0)),IF(ISERROR(VLOOKUP($A82,'[1]liste reference'!$B$7:$D$906,1,0)),"",VLOOKUP($A82,'[1]liste reference'!$B$7:$D$906,1,0)),VLOOKUP($A82,'[1]liste reference'!$A$7:$D$906,2,0))</f>
      </c>
      <c r="E82" s="242">
        <f>IF(D82="",,VLOOKUP(D82,D$22:D81,1,0))</f>
        <v>0</v>
      </c>
      <c r="F82" s="243">
        <f t="shared" si="9"/>
        <v>0</v>
      </c>
      <c r="G82" s="244">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5">
        <f>IF(ISNUMBER(H82),IF(ISERROR(VLOOKUP($A82,'[1]liste reference'!$A$7:$P$906,3,0)),IF(ISERROR(VLOOKUP($A82,'[1]liste reference'!$B$7:$P$906,2,0)),"",VLOOKUP($A82,'[1]liste reference'!$B$7:$P$906,2,0)),VLOOKUP($A82,'[1]liste reference'!$A$7:$P$906,3,0)),"")</f>
      </c>
      <c r="J82" s="245">
        <f>IF(ISNUMBER(H82),IF(ISERROR(VLOOKUP($A82,'[1]liste reference'!$A$7:$P$906,4,0)),IF(ISERROR(VLOOKUP($A82,'[1]liste reference'!$B$7:$P$906,3,0)),"",VLOOKUP($A82,'[1]liste reference'!$B$7:$P$906,3,0)),VLOOKUP($A82,'[1]liste reference'!$A$7:$P$906,4,0)),"")</f>
      </c>
      <c r="K82" s="246">
        <f>IF(A82="NEW.COD",AA82,IF(ISTEXT($E82),"DEJA SAISI !",IF(A82="","",IF(ISERROR(VLOOKUP($A82,'[1]liste reference'!$A$7:$D$906,2,0)),IF(ISERROR(VLOOKUP($A82,'[1]liste reference'!$B$7:$D$906,1,0)),"code non répertorié ou synonyme",VLOOKUP($A82,'[1]liste reference'!$B$7:$D$906,1,0)),VLOOKUP(A82,'[1]liste reference'!$A$7:$D$906,2,0)))))</f>
      </c>
      <c r="L82" s="247"/>
      <c r="M82" s="247"/>
      <c r="N82" s="247"/>
      <c r="O82" s="248"/>
      <c r="P82" s="214">
        <f t="shared" si="10"/>
      </c>
      <c r="Q82" s="215">
        <f t="shared" si="11"/>
      </c>
      <c r="R82" s="215">
        <f t="shared" si="12"/>
        <v>0</v>
      </c>
      <c r="S82" s="215">
        <f t="shared" si="13"/>
        <v>0</v>
      </c>
      <c r="T82" s="231">
        <f t="shared" si="14"/>
        <v>0</v>
      </c>
      <c r="U82" s="216">
        <f t="shared" si="15"/>
      </c>
      <c r="V82" s="217" t="s">
        <v>50</v>
      </c>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78</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BUECH</v>
      </c>
      <c r="B84" s="255" t="str">
        <f>C3</f>
        <v>SERRES</v>
      </c>
      <c r="C84" s="256">
        <f>A4</f>
        <v>40387</v>
      </c>
      <c r="D84" s="257">
        <f>IF(ISERROR(SUM($S$23:$S$82)/SUM($T$23:$T$82)),"",SUM($S$23:$S$82)/SUM($T$23:$T$82))</f>
        <v>10.19047619047619</v>
      </c>
      <c r="E84" s="258">
        <f>N13</f>
        <v>8</v>
      </c>
      <c r="F84" s="255">
        <f>N14</f>
        <v>8</v>
      </c>
      <c r="G84" s="255">
        <f>N15</f>
        <v>2</v>
      </c>
      <c r="H84" s="255">
        <f>N16</f>
        <v>6</v>
      </c>
      <c r="I84" s="255">
        <f>N17</f>
        <v>0</v>
      </c>
      <c r="J84" s="259">
        <f>N8</f>
        <v>10</v>
      </c>
      <c r="K84" s="257">
        <f>N9</f>
        <v>3.5050983275386565</v>
      </c>
      <c r="L84" s="258">
        <f>N10</f>
        <v>4</v>
      </c>
      <c r="M84" s="258">
        <f>N11</f>
        <v>15</v>
      </c>
      <c r="N84" s="257">
        <f>O8</f>
        <v>1.75</v>
      </c>
      <c r="O84" s="257">
        <f>O9</f>
        <v>0.4629100498862757</v>
      </c>
      <c r="P84" s="258">
        <f>O10</f>
        <v>1</v>
      </c>
      <c r="Q84" s="258">
        <f>O11</f>
        <v>2</v>
      </c>
      <c r="R84" s="260">
        <f>F21</f>
        <v>5.86</v>
      </c>
      <c r="S84" s="258">
        <f>K11</f>
        <v>0</v>
      </c>
      <c r="T84" s="258">
        <f>K12</f>
        <v>6</v>
      </c>
      <c r="U84" s="258">
        <f>K13</f>
        <v>2</v>
      </c>
      <c r="V84" s="261">
        <f>K14</f>
        <v>0</v>
      </c>
      <c r="W84" s="262">
        <f>K15</f>
        <v>0</v>
      </c>
      <c r="Y84" s="263"/>
      <c r="Z84" s="263"/>
      <c r="AA84" s="253"/>
      <c r="AB84" s="253"/>
      <c r="AC84" s="253"/>
    </row>
    <row r="85" spans="16:21" ht="12.75" hidden="1">
      <c r="P85" s="7"/>
      <c r="Q85" s="7"/>
      <c r="R85" s="7"/>
      <c r="S85" s="7"/>
      <c r="T85" s="7"/>
      <c r="U85" s="7"/>
    </row>
    <row r="86" spans="16:21" ht="12.75" hidden="1">
      <c r="P86" s="264" t="s">
        <v>79</v>
      </c>
      <c r="Q86" s="7"/>
      <c r="R86" s="216"/>
      <c r="S86" s="7"/>
      <c r="T86" s="7"/>
      <c r="U86" s="7"/>
    </row>
    <row r="87" spans="16:21" ht="12.75" hidden="1">
      <c r="P87" s="7" t="s">
        <v>80</v>
      </c>
      <c r="Q87" s="7"/>
      <c r="R87" s="216">
        <f>VLOOKUP(MAX($R$23:$R$82),($R$23:$T$82),1,0)</f>
        <v>30</v>
      </c>
      <c r="S87" s="7"/>
      <c r="T87" s="7"/>
      <c r="U87" s="7"/>
    </row>
    <row r="88" spans="16:21" ht="12.75" hidden="1">
      <c r="P88" s="7" t="s">
        <v>81</v>
      </c>
      <c r="Q88" s="7"/>
      <c r="R88" s="216">
        <f>VLOOKUP((R87),($R$23:$T$82),2,0)</f>
        <v>60</v>
      </c>
      <c r="S88" s="7"/>
      <c r="T88" s="7"/>
      <c r="U88" s="7"/>
    </row>
    <row r="89" spans="16:19" ht="12.75" hidden="1">
      <c r="P89" s="7" t="s">
        <v>82</v>
      </c>
      <c r="Q89" s="7"/>
      <c r="R89" s="216">
        <f>VLOOKUP((R87),($R$23:$T$82),3,0)</f>
        <v>6</v>
      </c>
      <c r="S89" s="7"/>
    </row>
    <row r="90" spans="16:19" ht="12.75" hidden="1">
      <c r="P90" s="7" t="s">
        <v>83</v>
      </c>
      <c r="Q90" s="7"/>
      <c r="R90" s="265">
        <f>IF(ISERROR(SUM($S$23:$S$82)/SUM($T$23:$T$82)),"",(SUM($S$23:$S$82)-R88)/(SUM($T$23:$T$82)-R89))</f>
        <v>10.266666666666667</v>
      </c>
      <c r="S90" s="7"/>
    </row>
    <row r="91" spans="16:20" ht="12.75" hidden="1">
      <c r="P91" s="215" t="s">
        <v>84</v>
      </c>
      <c r="Q91" s="215"/>
      <c r="R91" s="215" t="str">
        <f>INDEX('[1]liste reference'!$A$7:$A$906,$S$91)</f>
        <v>LYN.SPX</v>
      </c>
      <c r="S91" s="7">
        <f>IF(ISERROR(MATCH($R$93,'[1]liste reference'!$A$7:$A$906,0)),MATCH($R$93,'[1]liste reference'!$B$7:$B$906,0),(MATCH($R$93,'[1]liste reference'!$A$7:$A$906,0)))</f>
        <v>36</v>
      </c>
      <c r="T91" s="253"/>
    </row>
    <row r="92" spans="16:19" ht="12.75" hidden="1">
      <c r="P92" s="7" t="s">
        <v>85</v>
      </c>
      <c r="Q92" s="7"/>
      <c r="R92" s="7">
        <f>MATCH(R87,$R$23:$R$82,0)</f>
        <v>2</v>
      </c>
      <c r="S92" s="7"/>
    </row>
    <row r="93" spans="16:19" ht="12.75" hidden="1">
      <c r="P93" s="215" t="s">
        <v>86</v>
      </c>
      <c r="Q93" s="7"/>
      <c r="R93" s="215" t="str">
        <f>INDEX($A$23:$A$82,$R$92)</f>
        <v>LYN.SPX</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2013-10-22T08:16:27Z</dcterms:created>
  <dcterms:modified xsi:type="dcterms:W3CDTF">2013-10-22T08:16:44Z</dcterms:modified>
  <cp:category/>
  <cp:version/>
  <cp:contentType/>
  <cp:contentStatus/>
</cp:coreProperties>
</file>