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Méouge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'Méouges'!$A$1:$O$82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<sst xmlns="http://schemas.openxmlformats.org/spreadsheetml/2006/main" count="209" uniqueCount="93">
  <si>
    <t>Relevés floristiques aquatiques - IBMR</t>
  </si>
  <si>
    <t>GIS Macrophytes - juillet 2006</t>
  </si>
  <si>
    <t>Asconit</t>
  </si>
  <si>
    <t>AFA</t>
  </si>
  <si>
    <t>conforme AFNOR T90-395 oct. 2003</t>
  </si>
  <si>
    <t>Méouges</t>
  </si>
  <si>
    <t>Antonaves</t>
  </si>
  <si>
    <t>06156230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</si>
  <si>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</si>
  <si>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</si>
  <si>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</si>
  <si>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</si>
  <si>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</si>
  <si>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</si>
  <si>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</si>
  <si>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</si>
  <si>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</si>
  <si>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</si>
  <si>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</si>
  <si>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</si>
  <si>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</si>
  <si>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</si>
  <si>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</si>
  <si>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</si>
  <si>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</si>
  <si>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</si>
  <si>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</si>
  <si>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</si>
  <si>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</si>
  <si>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</si>
  <si>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</si>
  <si>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</si>
  <si>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</si>
  <si>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</si>
  <si>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</si>
  <si>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</si>
  <si>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</si>
  <si>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</si>
  <si>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</si>
  <si>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</si>
  <si>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</si>
  <si>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</si>
  <si>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</si>
  <si>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</si>
  <si>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</si>
  <si>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</si>
  <si>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</si>
  <si>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</si>
  <si>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</si>
  <si>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</si>
  <si>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</si>
  <si>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</si>
  <si>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</si>
  <si>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</si>
  <si>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</si>
  <si>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</si>
  <si>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</si>
  <si>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</si>
  <si>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</si>
  <si>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</si>
  <si>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</si>
  <si>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</si>
  <si>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</si>
  <si>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</si>
  <si>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</si>
  <si>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</si>
  <si>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</si>
  <si>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</si>
  <si>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</si>
  <si>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</si>
  <si>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</si>
  <si>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</si>
  <si>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</si>
  <si>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CHA.SPX</t>
  </si>
  <si>
    <t>SPI.SPX</t>
  </si>
  <si>
    <t>OED.SPX</t>
  </si>
  <si>
    <t>SCY.SPX</t>
  </si>
  <si>
    <t>EQU.PAL</t>
  </si>
  <si>
    <t>JUN.ART</t>
  </si>
  <si>
    <t>LYS.VUL</t>
  </si>
  <si>
    <t>LYT.SAL</t>
  </si>
  <si>
    <t>MEN.LON</t>
  </si>
  <si>
    <t>AGR.STO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</si>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</sst>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3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6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K3" sqref="K3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40027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9.142857142857142</v>
      </c>
      <c r="M5" s="51"/>
      <c r="N5" s="52" t="s">
        <v>15</v>
      </c>
      <c r="O5" s="53">
        <v>8.4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9.4</v>
      </c>
      <c r="O8" s="84">
        <f>AVERAGE(J23:J82)</f>
        <v>1.2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1.949358868961792</v>
      </c>
      <c r="O9" s="84">
        <f>STDEV(J23:J82)</f>
        <v>0.44721359549995787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11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0.25</v>
      </c>
      <c r="C12" s="120"/>
      <c r="D12" s="111"/>
      <c r="E12" s="111"/>
      <c r="F12" s="112">
        <f t="shared" si="0"/>
        <v>0.25</v>
      </c>
      <c r="G12" s="121"/>
      <c r="H12" s="67"/>
      <c r="I12" s="122" t="s">
        <v>36</v>
      </c>
      <c r="J12" s="123"/>
      <c r="K12" s="116">
        <f>COUNTIF($G$23:$G$82,"=ALG")</f>
        <v>5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11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5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0.05</v>
      </c>
      <c r="C15" s="137"/>
      <c r="D15" s="111"/>
      <c r="E15" s="111"/>
      <c r="F15" s="112">
        <f t="shared" si="0"/>
        <v>0.05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5</v>
      </c>
      <c r="L15" s="117"/>
      <c r="M15" s="138" t="s">
        <v>45</v>
      </c>
      <c r="N15" s="139">
        <f>COUNTIF(J23:J82,"=1")</f>
        <v>4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1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0.25</v>
      </c>
      <c r="C17" s="120"/>
      <c r="D17" s="111"/>
      <c r="E17" s="111"/>
      <c r="F17" s="145"/>
      <c r="G17" s="112">
        <f t="shared" si="0"/>
        <v>0.25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0.06</v>
      </c>
      <c r="C18" s="149"/>
      <c r="D18" s="111"/>
      <c r="E18" s="150" t="s">
        <v>51</v>
      </c>
      <c r="F18" s="145"/>
      <c r="G18" s="112">
        <f t="shared" si="0"/>
        <v>0.06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0.31</v>
      </c>
      <c r="G19" s="158">
        <f>SUM(G16:G18)</f>
        <v>0.31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92</v>
      </c>
      <c r="B20" s="166">
        <f>SUM(B23:B82)</f>
        <v>0.31000000000000005</v>
      </c>
      <c r="C20" s="167">
        <f>SUM(C23:C82)</f>
        <v>0</v>
      </c>
      <c r="D20" s="168"/>
      <c r="E20" s="169" t="s">
        <v>51</v>
      </c>
      <c r="F20" s="170">
        <f>($B20*$B$7+$C20*$C$7)/100</f>
        <v>0.31000000000000005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0.31000000000000005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0.31000000000000005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Chara sp. 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Chara sp. 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0</v>
      </c>
      <c r="S23" s="215">
        <f aca="true" t="shared" si="4" ref="S23:S82">IF(ISERROR(Q23*I23*J23),0,Q23*I23*J23)</f>
        <v>0</v>
      </c>
      <c r="T23" s="215">
        <f aca="true" t="shared" si="5" ref="T23:T82">IF(ISERROR(Q23*J23),0,Q23*J23)</f>
        <v>0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CHA.SPX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19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Spirogyra sp.       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10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Spirogyra sp.       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10</v>
      </c>
      <c r="S24" s="215">
        <f t="shared" si="4"/>
        <v>10</v>
      </c>
      <c r="T24" s="230">
        <f t="shared" si="5"/>
        <v>1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SPI.SPX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70</v>
      </c>
      <c r="Z24" s="219"/>
      <c r="AA24" s="220"/>
      <c r="BB24" s="7">
        <f t="shared" si="7"/>
        <v>1</v>
      </c>
    </row>
    <row r="25" spans="1:54" ht="12.75">
      <c r="A25" s="221" t="s">
        <v>15</v>
      </c>
      <c r="B25" s="222">
        <v>0.2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Oscillatoria sp.       </v>
      </c>
      <c r="E25" s="224" t="e">
        <f>IF(D25="",,VLOOKUP(D25,D$22:D24,1,0))</f>
        <v>#N/A</v>
      </c>
      <c r="F25" s="225">
        <f t="shared" si="1"/>
        <v>0.2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11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Oscillatoria sp.       </v>
      </c>
      <c r="L25" s="229"/>
      <c r="M25" s="229"/>
      <c r="N25" s="229"/>
      <c r="O25" s="213"/>
      <c r="P25" s="214">
        <f t="shared" si="2"/>
        <v>0.2</v>
      </c>
      <c r="Q25" s="215">
        <f t="shared" si="8"/>
        <v>2</v>
      </c>
      <c r="R25" s="215">
        <f t="shared" si="3"/>
        <v>22</v>
      </c>
      <c r="S25" s="215">
        <f t="shared" si="4"/>
        <v>22</v>
      </c>
      <c r="T25" s="230">
        <f t="shared" si="5"/>
        <v>2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OSC.SPX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57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Oedogonium sp.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6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Oedogonium sp.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6</v>
      </c>
      <c r="S26" s="215">
        <f>IF(ISERROR(Q26*I26*J26),0,Q26*I26*J26)</f>
        <v>12</v>
      </c>
      <c r="T26" s="230">
        <f>IF(ISERROR(Q26*J26),0,Q26*J26)</f>
        <v>2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OED.SPX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56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0.02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Scytonema sp.</v>
      </c>
      <c r="E27" s="224" t="e">
        <f>IF(D27="",,VLOOKUP(D27,D$22:D26,1,0))</f>
        <v>#N/A</v>
      </c>
      <c r="F27" s="225">
        <f t="shared" si="1"/>
        <v>0.02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Scytonema sp.</v>
      </c>
      <c r="L27" s="229"/>
      <c r="M27" s="229"/>
      <c r="N27" s="229"/>
      <c r="O27" s="213"/>
      <c r="P27" s="214">
        <f t="shared" si="2"/>
        <v>0.02</v>
      </c>
      <c r="Q27" s="215">
        <f t="shared" si="8"/>
        <v>1</v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SCY.SPX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67</v>
      </c>
      <c r="Z27" s="219"/>
      <c r="AA27" s="220"/>
      <c r="BB27" s="7">
        <f t="shared" si="7"/>
        <v>1</v>
      </c>
    </row>
    <row r="28" spans="1:54" ht="12.75">
      <c r="A28" s="221" t="s">
        <v>77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Equisetum palustre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PTE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6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10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Equisetum palustre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10</v>
      </c>
      <c r="S28" s="215">
        <f t="shared" si="4"/>
        <v>10</v>
      </c>
      <c r="T28" s="230">
        <f t="shared" si="5"/>
        <v>1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EQU.PAL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282</v>
      </c>
      <c r="Z28" s="219"/>
      <c r="AA28" s="220"/>
      <c r="BB28" s="7">
        <f t="shared" si="7"/>
        <v>1</v>
      </c>
    </row>
    <row r="29" spans="1:54" ht="12.75">
      <c r="A29" s="221" t="s">
        <v>78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Juncus articulatus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PHg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9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Juncus articulatus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JUN.ART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775</v>
      </c>
      <c r="Z29" s="219"/>
      <c r="AA29" s="220"/>
      <c r="BB29" s="7">
        <f t="shared" si="7"/>
        <v>1</v>
      </c>
    </row>
    <row r="30" spans="1:54" ht="12.75">
      <c r="A30" s="221" t="s">
        <v>79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Lysimachia vulgaris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Lysimachia vulgaris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LYS.VUL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607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Lythrum salicaria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Lythrum salicaria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LYT.SAL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611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Mentha longifolia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Mentha longifolia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MEN.LON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615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>
        <v>0.01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Agrostis stolonifera</v>
      </c>
      <c r="E33" s="224" t="e">
        <f>IF(D33="",,VLOOKUP(D33,D$22:D32,1,0))</f>
        <v>#N/A</v>
      </c>
      <c r="F33" s="225">
        <f t="shared" si="1"/>
        <v>0.01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10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Agrostis stolonifera</v>
      </c>
      <c r="L33" s="232"/>
      <c r="M33" s="232"/>
      <c r="N33" s="232"/>
      <c r="O33" s="233"/>
      <c r="P33" s="214">
        <f t="shared" si="2"/>
        <v>0.01</v>
      </c>
      <c r="Q33" s="215">
        <f t="shared" si="8"/>
        <v>1</v>
      </c>
      <c r="R33" s="215">
        <f t="shared" si="3"/>
        <v>10</v>
      </c>
      <c r="S33" s="215">
        <f t="shared" si="4"/>
        <v>10</v>
      </c>
      <c r="T33" s="230">
        <f t="shared" si="5"/>
        <v>1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AGR.STO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520</v>
      </c>
      <c r="Z33" s="219"/>
      <c r="AA33" s="220"/>
      <c r="BB33" s="7">
        <f t="shared" si="7"/>
        <v>1</v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Méouges</v>
      </c>
      <c r="B84" s="255" t="str">
        <f>C3</f>
        <v>Antonaves</v>
      </c>
      <c r="C84" s="256">
        <f>A4</f>
        <v>40027</v>
      </c>
      <c r="D84" s="257">
        <f>IF(ISERROR(SUM($S$23:$S$82)/SUM($T$23:$T$82)),"",SUM($S$23:$S$82)/SUM($T$23:$T$82))</f>
        <v>9.142857142857142</v>
      </c>
      <c r="E84" s="258">
        <f>N13</f>
        <v>11</v>
      </c>
      <c r="F84" s="255">
        <f>N14</f>
        <v>5</v>
      </c>
      <c r="G84" s="255">
        <f>N15</f>
        <v>4</v>
      </c>
      <c r="H84" s="255">
        <f>N16</f>
        <v>1</v>
      </c>
      <c r="I84" s="255">
        <f>N17</f>
        <v>0</v>
      </c>
      <c r="J84" s="259">
        <f>N8</f>
        <v>9.4</v>
      </c>
      <c r="K84" s="257">
        <f>N9</f>
        <v>1.949358868961792</v>
      </c>
      <c r="L84" s="258">
        <f>N10</f>
        <v>6</v>
      </c>
      <c r="M84" s="258">
        <f>N11</f>
        <v>11</v>
      </c>
      <c r="N84" s="257">
        <f>O8</f>
        <v>1.2</v>
      </c>
      <c r="O84" s="257">
        <f>O9</f>
        <v>0.44721359549995787</v>
      </c>
      <c r="P84" s="258">
        <f>O10</f>
        <v>1</v>
      </c>
      <c r="Q84" s="258">
        <f>O11</f>
        <v>2</v>
      </c>
      <c r="R84" s="260">
        <f>F21</f>
        <v>0.31000000000000005</v>
      </c>
      <c r="S84" s="258">
        <f>K11</f>
        <v>0</v>
      </c>
      <c r="T84" s="258">
        <f>K12</f>
        <v>5</v>
      </c>
      <c r="U84" s="258">
        <f>K13</f>
        <v>0</v>
      </c>
      <c r="V84" s="261">
        <f>K14</f>
        <v>1</v>
      </c>
      <c r="W84" s="262">
        <f>K15</f>
        <v>5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84</v>
      </c>
      <c r="Q86" s="7"/>
      <c r="R86" s="216"/>
      <c r="S86" s="7"/>
      <c r="T86" s="7"/>
      <c r="U86" s="7"/>
    </row>
    <row r="87" spans="16:21" ht="12.75" hidden="1">
      <c r="P87" s="7" t="s">
        <v>85</v>
      </c>
      <c r="Q87" s="7"/>
      <c r="R87" s="216">
        <f>VLOOKUP(MAX($R$23:$R$82),($R$23:$T$82),1,0)</f>
        <v>22</v>
      </c>
      <c r="S87" s="7"/>
      <c r="T87" s="7"/>
      <c r="U87" s="7"/>
    </row>
    <row r="88" spans="16:21" ht="12.75" hidden="1">
      <c r="P88" s="7" t="s">
        <v>86</v>
      </c>
      <c r="Q88" s="7"/>
      <c r="R88" s="216">
        <f>VLOOKUP((R87),($R$23:$T$82),2,0)</f>
        <v>22</v>
      </c>
      <c r="S88" s="7"/>
      <c r="T88" s="7"/>
      <c r="U88" s="7"/>
    </row>
    <row r="89" spans="16:19" ht="12.75" hidden="1">
      <c r="P89" s="7" t="s">
        <v>87</v>
      </c>
      <c r="Q89" s="7"/>
      <c r="R89" s="216">
        <f>VLOOKUP((R87),($R$23:$T$82),3,0)</f>
        <v>2</v>
      </c>
      <c r="S89" s="7"/>
    </row>
    <row r="90" spans="16:19" ht="12.75" hidden="1">
      <c r="P90" s="7" t="s">
        <v>88</v>
      </c>
      <c r="Q90" s="7"/>
      <c r="R90" s="265">
        <f>IF(ISERROR(SUM($S$23:$S$82)/SUM($T$23:$T$82)),"",(SUM($S$23:$S$82)-R88)/(SUM($T$23:$T$82)-R89))</f>
        <v>8.4</v>
      </c>
      <c r="S90" s="7"/>
    </row>
    <row r="91" spans="16:20" ht="12.75" hidden="1">
      <c r="P91" s="215" t="s">
        <v>89</v>
      </c>
      <c r="Q91" s="215"/>
      <c r="R91" s="215" t="str">
        <f>INDEX('[1]liste reference'!$A$7:$A$906,$S$91)</f>
        <v>OSC.SPX</v>
      </c>
      <c r="S91" s="7">
        <f>IF(ISERROR(MATCH($R$93,'[1]liste reference'!$A$7:$A$906,0)),MATCH($R$93,'[1]liste reference'!$B$7:$B$906,0),(MATCH($R$93,'[1]liste reference'!$A$7:$A$906,0)))</f>
        <v>57</v>
      </c>
      <c r="T91" s="253"/>
    </row>
    <row r="92" spans="16:19" ht="12.75" hidden="1">
      <c r="P92" s="7" t="s">
        <v>90</v>
      </c>
      <c r="Q92" s="7"/>
      <c r="R92" s="7">
        <f>MATCH(R87,$R$23:$R$82,0)</f>
        <v>3</v>
      </c>
      <c r="S92" s="7"/>
    </row>
    <row r="93" spans="16:19" ht="12.75" hidden="1">
      <c r="P93" s="215" t="s">
        <v>91</v>
      </c>
      <c r="Q93" s="7"/>
      <c r="R93" s="215" t="str">
        <f>INDEX($A$23:$A$82,$R$92)</f>
        <v>OSC.SPX</v>
      </c>
      <c r="S93" s="7"/>
    </row>
    <row r="94" ht="12.75">
      <c r="R94" s="253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2013-10-22T13:23:42Z</dcterms:created>
  <dcterms:modified xsi:type="dcterms:W3CDTF">2013-10-22T13:23:56Z</dcterms:modified>
  <cp:category/>
  <cp:version/>
  <cp:contentType/>
  <cp:contentStatus/>
</cp:coreProperties>
</file>