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15775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'06157750'!$A$1:$O$82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C2" authorId="4">
      <text>
        <r>
          <rPr>
            <sz val="8"/>
            <rFont val="Tahoma"/>
            <family val="2"/>
          </rPr>
          <t xml:space="preserve">personnes ayant réalisées le relevé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<sst xmlns="http://schemas.openxmlformats.org/spreadsheetml/2006/main" count="217" uniqueCount="94">
  <si>
    <t>Relevés floristiques aquatiques - IBMR</t>
  </si>
  <si>
    <t xml:space="preserve">Formulaire modèle GIS Macrophytes v 3.1.1 - janvier 2013  </t>
  </si>
  <si>
    <t>Lambda 430</t>
  </si>
  <si>
    <t>(Opérateurs)</t>
  </si>
  <si>
    <t>conforme AFNOR T90-395 oct. 2003</t>
  </si>
  <si>
    <t>Bes</t>
  </si>
  <si>
    <t>Barles</t>
  </si>
  <si>
    <t>06157750</t>
  </si>
  <si>
    <t>(dossier, type réseau)</t>
  </si>
  <si>
    <t>Résultats</t>
  </si>
  <si>
    <t>Robustesse:</t>
  </si>
  <si>
    <t>Unité de relevé</t>
  </si>
  <si>
    <t>UR1</t>
  </si>
  <si>
    <t>UR2</t>
  </si>
  <si>
    <t>station</t>
  </si>
  <si>
    <t>IBMR:</t>
  </si>
  <si>
    <t>AMBTEN</t>
  </si>
  <si>
    <t>Faciès dominant</t>
  </si>
  <si>
    <t>radier</t>
  </si>
  <si>
    <t>mouille</t>
  </si>
  <si>
    <t>niv. trophique:</t>
  </si>
  <si>
    <t>faible</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</si>
  <si>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</si>
  <si>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</si>
  <si>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</si>
  <si>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</si>
  <si>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</si>
  <si>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</si>
  <si>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</si>
  <si>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</si>
  <si>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</si>
  <si>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</si>
  <si>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</si>
  <si>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</si>
  <si>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</si>
  <si>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</si>
  <si>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</si>
  <si>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</si>
  <si>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</si>
  <si>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</si>
  <si>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</si>
  <si>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</si>
  <si>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</si>
  <si>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</si>
  <si>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</si>
  <si>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</si>
  <si>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</si>
  <si>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</si>
  <si>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</si>
  <si>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</si>
  <si>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</si>
  <si>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</si>
  <si>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</si>
  <si>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</si>
  <si>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</si>
  <si>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</si>
  <si>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ATTENTION : écart entre rec. par grp (0,064 %) et</t>
  </si>
  <si>
    <t>rec. pondéré</t>
  </si>
  <si>
    <t>voir aussi colonne BB</t>
  </si>
  <si>
    <t xml:space="preserve"> rec. par taxa (0,046 %)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</si>
  <si>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</si>
  <si>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</si>
  <si>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</si>
  <si>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</si>
  <si>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</si>
  <si>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</si>
  <si>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</si>
  <si>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</si>
  <si>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</si>
  <si>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</si>
  <si>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</si>
  <si>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</si>
  <si>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</si>
  <si>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</si>
  <si>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</si>
  <si>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</si>
  <si>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</si>
  <si>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</si>
  <si>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</si>
  <si>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OSCSPX</t>
  </si>
  <si>
    <t>PHAARU</t>
  </si>
  <si>
    <t>CARSPX</t>
  </si>
  <si>
    <t>EQUPAL</t>
  </si>
  <si>
    <t>RUMSPX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</si>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</sst>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style="thin"/>
      <right style="thin"/>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7" xfId="0" applyFill="1" applyBorder="1" applyAlignment="1" applyProtection="1">
      <alignment/>
      <protection hidden="1"/>
    </xf>
    <xf numFmtId="0" fontId="0" fillId="15" borderId="18" xfId="0" applyFill="1" applyBorder="1" applyAlignment="1" applyProtection="1">
      <alignment/>
      <protection hidden="1"/>
    </xf>
    <xf numFmtId="0" fontId="24" fillId="26" borderId="15" xfId="0" applyFont="1" applyFill="1" applyBorder="1" applyAlignment="1" applyProtection="1">
      <alignment horizontal="center"/>
      <protection locked="0"/>
    </xf>
    <xf numFmtId="0" fontId="24" fillId="17" borderId="19"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9" xfId="0" applyFont="1" applyFill="1" applyBorder="1" applyAlignment="1" applyProtection="1">
      <alignment/>
      <protection hidden="1"/>
    </xf>
    <xf numFmtId="0" fontId="0" fillId="26" borderId="0" xfId="0" applyFill="1" applyAlignment="1" applyProtection="1">
      <alignment/>
      <protection hidden="1"/>
    </xf>
    <xf numFmtId="49" fontId="24" fillId="26" borderId="20"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1" xfId="0" applyFont="1" applyFill="1" applyBorder="1" applyAlignment="1" applyProtection="1">
      <alignment horizontal="left"/>
      <protection locked="0"/>
    </xf>
    <xf numFmtId="0" fontId="24" fillId="26" borderId="22"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3" xfId="0" applyNumberFormat="1" applyFont="1" applyFill="1" applyBorder="1" applyAlignment="1" applyProtection="1">
      <alignment horizontal="left"/>
      <protection locked="0"/>
    </xf>
    <xf numFmtId="0" fontId="24" fillId="20" borderId="24" xfId="0" applyFont="1" applyFill="1" applyBorder="1" applyAlignment="1" applyProtection="1">
      <alignment horizontal="left"/>
      <protection hidden="1"/>
    </xf>
    <xf numFmtId="0" fontId="24" fillId="20" borderId="24" xfId="0" applyFont="1" applyFill="1" applyBorder="1" applyAlignment="1" applyProtection="1">
      <alignment/>
      <protection hidden="1"/>
    </xf>
    <xf numFmtId="0" fontId="24" fillId="17" borderId="24" xfId="0" applyFont="1" applyFill="1" applyBorder="1" applyAlignment="1" applyProtection="1">
      <alignment/>
      <protection hidden="1"/>
    </xf>
    <xf numFmtId="0" fontId="27" fillId="4" borderId="25" xfId="0" applyFont="1" applyFill="1" applyBorder="1" applyAlignment="1" applyProtection="1">
      <alignment/>
      <protection hidden="1"/>
    </xf>
    <xf numFmtId="0" fontId="0" fillId="4" borderId="26" xfId="0" applyFill="1" applyBorder="1" applyAlignment="1" applyProtection="1">
      <alignment/>
      <protection hidden="1"/>
    </xf>
    <xf numFmtId="0" fontId="0" fillId="4" borderId="27" xfId="0" applyFill="1" applyBorder="1" applyAlignment="1" applyProtection="1">
      <alignment/>
      <protection hidden="1"/>
    </xf>
    <xf numFmtId="0" fontId="28" fillId="4" borderId="27" xfId="0" applyFont="1" applyFill="1" applyBorder="1" applyAlignment="1" applyProtection="1">
      <alignment/>
      <protection hidden="1"/>
    </xf>
    <xf numFmtId="0" fontId="28" fillId="25" borderId="28" xfId="0" applyFont="1" applyFill="1" applyBorder="1" applyAlignment="1" applyProtection="1">
      <alignment/>
      <protection hidden="1"/>
    </xf>
    <xf numFmtId="0" fontId="23" fillId="15" borderId="18" xfId="0" applyFont="1" applyFill="1" applyBorder="1" applyAlignment="1" applyProtection="1">
      <alignment horizontal="center"/>
      <protection hidden="1"/>
    </xf>
    <xf numFmtId="0" fontId="29" fillId="22" borderId="29" xfId="0" applyFont="1" applyFill="1" applyBorder="1" applyAlignment="1" applyProtection="1">
      <alignment/>
      <protection hidden="1"/>
    </xf>
    <xf numFmtId="0" fontId="24" fillId="22" borderId="30" xfId="0" applyFont="1" applyFill="1" applyBorder="1" applyAlignment="1" applyProtection="1">
      <alignment horizontal="center"/>
      <protection hidden="1"/>
    </xf>
    <xf numFmtId="0" fontId="24" fillId="22" borderId="31"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2" xfId="0" applyFont="1" applyFill="1" applyBorder="1" applyAlignment="1" applyProtection="1">
      <alignment horizontal="left"/>
      <protection hidden="1"/>
    </xf>
    <xf numFmtId="0" fontId="24" fillId="4" borderId="33" xfId="0" applyFont="1" applyFill="1" applyBorder="1" applyAlignment="1" applyProtection="1">
      <alignment horizontal="center"/>
      <protection hidden="1"/>
    </xf>
    <xf numFmtId="0" fontId="30" fillId="4" borderId="33" xfId="0" applyFont="1" applyFill="1" applyBorder="1" applyAlignment="1" applyProtection="1">
      <alignment horizontal="center"/>
      <protection hidden="1"/>
    </xf>
    <xf numFmtId="2" fontId="31" fillId="27" borderId="34" xfId="0" applyNumberFormat="1" applyFont="1" applyFill="1" applyBorder="1" applyAlignment="1" applyProtection="1">
      <alignment horizontal="right" vertical="top"/>
      <protection hidden="1"/>
    </xf>
    <xf numFmtId="2" fontId="31" fillId="27" borderId="35" xfId="0" applyNumberFormat="1" applyFont="1" applyFill="1" applyBorder="1" applyAlignment="1" applyProtection="1">
      <alignment horizontal="left" vertical="top"/>
      <protection hidden="1"/>
    </xf>
    <xf numFmtId="2" fontId="32" fillId="28" borderId="26" xfId="0" applyNumberFormat="1" applyFont="1" applyFill="1" applyBorder="1" applyAlignment="1" applyProtection="1">
      <alignment horizontal="left" vertical="top"/>
      <protection hidden="1"/>
    </xf>
    <xf numFmtId="2" fontId="0" fillId="28" borderId="26" xfId="0" applyNumberFormat="1" applyFont="1" applyFill="1" applyBorder="1" applyAlignment="1" applyProtection="1">
      <alignment horizontal="center" vertical="top"/>
      <protection hidden="1"/>
    </xf>
    <xf numFmtId="2" fontId="32" fillId="25" borderId="28" xfId="0" applyNumberFormat="1" applyFont="1" applyFill="1" applyBorder="1" applyAlignment="1" applyProtection="1">
      <alignment horizontal="left" vertical="top"/>
      <protection hidden="1"/>
    </xf>
    <xf numFmtId="0" fontId="24" fillId="26" borderId="36" xfId="0" applyFont="1" applyFill="1" applyBorder="1" applyAlignment="1" applyProtection="1">
      <alignment horizontal="center"/>
      <protection locked="0"/>
    </xf>
    <xf numFmtId="0" fontId="24" fillId="26" borderId="37" xfId="0" applyFont="1" applyFill="1" applyBorder="1" applyAlignment="1" applyProtection="1">
      <alignment horizontal="center"/>
      <protection locked="0"/>
    </xf>
    <xf numFmtId="0" fontId="28" fillId="4" borderId="38" xfId="0" applyFont="1" applyFill="1" applyBorder="1" applyAlignment="1" applyProtection="1">
      <alignment horizontal="left"/>
      <protection hidden="1"/>
    </xf>
    <xf numFmtId="0" fontId="24" fillId="4" borderId="39" xfId="0" applyFont="1" applyFill="1" applyBorder="1" applyAlignment="1" applyProtection="1">
      <alignment horizontal="center"/>
      <protection hidden="1"/>
    </xf>
    <xf numFmtId="0" fontId="0" fillId="4" borderId="39" xfId="0" applyFill="1" applyBorder="1" applyAlignment="1" applyProtection="1">
      <alignment/>
      <protection hidden="1"/>
    </xf>
    <xf numFmtId="0" fontId="33" fillId="27" borderId="40" xfId="0" applyFont="1" applyFill="1" applyBorder="1" applyAlignment="1" applyProtection="1">
      <alignment horizontal="left"/>
      <protection hidden="1"/>
    </xf>
    <xf numFmtId="0" fontId="24" fillId="27" borderId="41" xfId="0" applyFont="1" applyFill="1" applyBorder="1" applyAlignment="1" applyProtection="1">
      <alignment horizontal="right" vertical="top"/>
      <protection hidden="1"/>
    </xf>
    <xf numFmtId="0" fontId="34" fillId="28" borderId="42" xfId="0" applyFont="1" applyFill="1" applyBorder="1" applyAlignment="1" applyProtection="1">
      <alignment horizontal="center" vertical="top"/>
      <protection hidden="1"/>
    </xf>
    <xf numFmtId="0" fontId="35" fillId="25" borderId="28" xfId="0" applyFont="1" applyFill="1" applyBorder="1" applyAlignment="1" applyProtection="1">
      <alignment horizontal="center" vertical="top"/>
      <protection hidden="1"/>
    </xf>
    <xf numFmtId="0" fontId="36" fillId="22" borderId="29" xfId="0" applyFont="1" applyFill="1" applyBorder="1" applyAlignment="1" applyProtection="1">
      <alignment/>
      <protection hidden="1"/>
    </xf>
    <xf numFmtId="0" fontId="0" fillId="26" borderId="43" xfId="0" applyFont="1" applyFill="1" applyBorder="1" applyAlignment="1" applyProtection="1">
      <alignment horizontal="center"/>
      <protection locked="0"/>
    </xf>
    <xf numFmtId="0" fontId="0" fillId="26" borderId="23"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8"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4" xfId="0" applyFont="1" applyFill="1" applyBorder="1" applyAlignment="1" applyProtection="1">
      <alignment horizontal="left" vertical="top"/>
      <protection hidden="1"/>
    </xf>
    <xf numFmtId="0" fontId="39" fillId="4" borderId="24" xfId="0" applyFont="1" applyFill="1" applyBorder="1" applyAlignment="1" applyProtection="1">
      <alignment horizontal="left" vertical="top"/>
      <protection hidden="1"/>
    </xf>
    <xf numFmtId="0" fontId="39" fillId="4" borderId="45"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6"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8"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3"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8"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0" fontId="0" fillId="15" borderId="48" xfId="0" applyFill="1" applyBorder="1" applyAlignment="1" applyProtection="1">
      <alignment/>
      <protection hidden="1"/>
    </xf>
    <xf numFmtId="0" fontId="0" fillId="15" borderId="49" xfId="0" applyFill="1" applyBorder="1" applyAlignment="1" applyProtection="1">
      <alignment/>
      <protection hidden="1"/>
    </xf>
    <xf numFmtId="0" fontId="42" fillId="22" borderId="29"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3"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0"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left" vertical="top"/>
      <protection hidden="1"/>
    </xf>
    <xf numFmtId="0" fontId="25" fillId="22" borderId="51" xfId="0" applyFont="1" applyFill="1" applyBorder="1" applyAlignment="1" applyProtection="1">
      <alignment/>
      <protection hidden="1"/>
    </xf>
    <xf numFmtId="2" fontId="0" fillId="26" borderId="52" xfId="0" applyNumberFormat="1" applyFont="1" applyFill="1" applyBorder="1" applyAlignment="1" applyProtection="1">
      <alignment horizontal="center"/>
      <protection locked="0"/>
    </xf>
    <xf numFmtId="2" fontId="0" fillId="26" borderId="53"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4" xfId="0" applyNumberFormat="1" applyFont="1" applyFill="1" applyBorder="1" applyAlignment="1" applyProtection="1">
      <alignment horizontal="center"/>
      <protection hidden="1"/>
    </xf>
    <xf numFmtId="1" fontId="0" fillId="4" borderId="55"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left"/>
      <protection hidden="1"/>
    </xf>
    <xf numFmtId="0" fontId="25" fillId="22" borderId="57" xfId="0" applyFont="1" applyFill="1" applyBorder="1" applyAlignment="1" applyProtection="1">
      <alignment/>
      <protection hidden="1"/>
    </xf>
    <xf numFmtId="2" fontId="0" fillId="26" borderId="58" xfId="0" applyNumberFormat="1" applyFont="1" applyFill="1" applyBorder="1" applyAlignment="1" applyProtection="1">
      <alignment horizontal="center"/>
      <protection locked="0"/>
    </xf>
    <xf numFmtId="2" fontId="0" fillId="26" borderId="59"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8" xfId="0" applyFont="1" applyFill="1" applyBorder="1" applyAlignment="1" applyProtection="1">
      <alignment horizontal="left" vertical="top"/>
      <protection hidden="1"/>
    </xf>
    <xf numFmtId="1" fontId="0" fillId="4" borderId="60" xfId="0" applyNumberFormat="1" applyFont="1" applyFill="1" applyBorder="1" applyAlignment="1" applyProtection="1">
      <alignment horizontal="center"/>
      <protection hidden="1"/>
    </xf>
    <xf numFmtId="0" fontId="32" fillId="4" borderId="61" xfId="0" applyFont="1" applyFill="1" applyBorder="1" applyAlignment="1" applyProtection="1">
      <alignment horizontal="right" vertical="top"/>
      <protection hidden="1"/>
    </xf>
    <xf numFmtId="169" fontId="0" fillId="4" borderId="19" xfId="0" applyNumberFormat="1" applyFont="1" applyFill="1" applyBorder="1" applyAlignment="1" applyProtection="1">
      <alignment horizontal="right" vertical="top"/>
      <protection hidden="1"/>
    </xf>
    <xf numFmtId="0" fontId="0" fillId="4" borderId="19" xfId="0" applyFont="1" applyFill="1" applyBorder="1" applyAlignment="1" applyProtection="1">
      <alignment horizontal="left" vertical="top"/>
      <protection hidden="1"/>
    </xf>
    <xf numFmtId="169" fontId="0" fillId="25" borderId="28" xfId="0" applyNumberFormat="1" applyFont="1" applyFill="1" applyBorder="1" applyAlignment="1" applyProtection="1">
      <alignment horizontal="right" vertical="top"/>
      <protection hidden="1"/>
    </xf>
    <xf numFmtId="0" fontId="32" fillId="4" borderId="62" xfId="0" applyFont="1" applyFill="1" applyBorder="1" applyAlignment="1" applyProtection="1">
      <alignment horizontal="right" vertical="top"/>
      <protection hidden="1"/>
    </xf>
    <xf numFmtId="169" fontId="0" fillId="4" borderId="63" xfId="0" applyNumberFormat="1" applyFont="1" applyFill="1" applyBorder="1" applyAlignment="1" applyProtection="1">
      <alignment horizontal="right" vertical="top"/>
      <protection hidden="1"/>
    </xf>
    <xf numFmtId="0" fontId="0" fillId="4" borderId="63" xfId="0" applyFont="1" applyFill="1" applyBorder="1" applyAlignment="1" applyProtection="1">
      <alignment horizontal="left" vertical="top"/>
      <protection hidden="1"/>
    </xf>
    <xf numFmtId="0" fontId="25" fillId="22" borderId="64" xfId="0" applyFont="1" applyFill="1" applyBorder="1" applyAlignment="1" applyProtection="1">
      <alignment/>
      <protection hidden="1"/>
    </xf>
    <xf numFmtId="2" fontId="0" fillId="26" borderId="65" xfId="0" applyNumberFormat="1" applyFont="1" applyFill="1" applyBorder="1" applyAlignment="1" applyProtection="1">
      <alignment horizontal="center"/>
      <protection locked="0"/>
    </xf>
    <xf numFmtId="2" fontId="0" fillId="26" borderId="66" xfId="0" applyNumberFormat="1" applyFont="1" applyFill="1" applyBorder="1" applyAlignment="1" applyProtection="1">
      <alignment horizontal="center"/>
      <protection locked="0"/>
    </xf>
    <xf numFmtId="0" fontId="32" fillId="4" borderId="67"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9" xfId="0" applyNumberFormat="1" applyFont="1" applyFill="1" applyBorder="1" applyAlignment="1" applyProtection="1">
      <alignment horizontal="center"/>
      <protection hidden="1"/>
    </xf>
    <xf numFmtId="2" fontId="29" fillId="20" borderId="19" xfId="0" applyNumberFormat="1" applyFont="1" applyFill="1" applyBorder="1" applyAlignment="1" applyProtection="1">
      <alignment/>
      <protection hidden="1"/>
    </xf>
    <xf numFmtId="1" fontId="0" fillId="4" borderId="2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8" xfId="0" applyFont="1" applyFill="1" applyBorder="1" applyAlignment="1" applyProtection="1">
      <alignment/>
      <protection hidden="1"/>
    </xf>
    <xf numFmtId="2" fontId="0" fillId="26" borderId="69" xfId="0" applyNumberFormat="1" applyFont="1" applyFill="1" applyBorder="1" applyAlignment="1" applyProtection="1">
      <alignment horizontal="center"/>
      <protection locked="0"/>
    </xf>
    <xf numFmtId="2" fontId="0" fillId="26" borderId="70"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8"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8" xfId="0" applyFont="1" applyFill="1" applyBorder="1" applyAlignment="1" applyProtection="1">
      <alignment/>
      <protection hidden="1"/>
    </xf>
    <xf numFmtId="0" fontId="45" fillId="17" borderId="38"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8" xfId="0" applyFill="1" applyBorder="1" applyAlignment="1" applyProtection="1">
      <alignment/>
      <protection hidden="1"/>
    </xf>
    <xf numFmtId="0" fontId="32" fillId="4" borderId="39" xfId="0" applyFont="1" applyFill="1" applyBorder="1" applyAlignment="1" applyProtection="1">
      <alignment/>
      <protection hidden="1"/>
    </xf>
    <xf numFmtId="2" fontId="24" fillId="4" borderId="39" xfId="0" applyNumberFormat="1" applyFont="1" applyFill="1" applyBorder="1" applyAlignment="1" applyProtection="1">
      <alignment horizontal="left"/>
      <protection hidden="1"/>
    </xf>
    <xf numFmtId="2" fontId="24" fillId="4" borderId="71" xfId="0" applyNumberFormat="1" applyFont="1" applyFill="1" applyBorder="1" applyAlignment="1" applyProtection="1">
      <alignment horizontal="left"/>
      <protection hidden="1"/>
    </xf>
    <xf numFmtId="0" fontId="0" fillId="4" borderId="72" xfId="0" applyFill="1" applyBorder="1" applyAlignment="1" applyProtection="1">
      <alignment/>
      <protection hidden="1"/>
    </xf>
    <xf numFmtId="0" fontId="0" fillId="4" borderId="39" xfId="0" applyFont="1" applyFill="1" applyBorder="1" applyAlignment="1" applyProtection="1">
      <alignment horizontal="left" vertical="top"/>
      <protection hidden="1"/>
    </xf>
    <xf numFmtId="0" fontId="24" fillId="22" borderId="29"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3" xfId="0" applyNumberFormat="1" applyFont="1" applyFill="1" applyBorder="1" applyAlignment="1" applyProtection="1">
      <alignment horizontal="center"/>
      <protection hidden="1"/>
    </xf>
    <xf numFmtId="0" fontId="0" fillId="17" borderId="73" xfId="0" applyFont="1" applyFill="1" applyBorder="1" applyAlignment="1" applyProtection="1">
      <alignment horizontal="center"/>
      <protection hidden="1"/>
    </xf>
    <xf numFmtId="0" fontId="28" fillId="17" borderId="73"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3" xfId="0" applyNumberFormat="1" applyFont="1" applyFill="1" applyBorder="1" applyAlignment="1" applyProtection="1">
      <alignment horizontal="center"/>
      <protection hidden="1"/>
    </xf>
    <xf numFmtId="1" fontId="24" fillId="17" borderId="19"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9"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7" xfId="0" applyFont="1" applyFill="1" applyBorder="1" applyAlignment="1" applyProtection="1">
      <alignment horizontal="left"/>
      <protection hidden="1"/>
    </xf>
    <xf numFmtId="0" fontId="32" fillId="25" borderId="46"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29"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7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4" xfId="0" applyFont="1" applyFill="1" applyBorder="1" applyAlignment="1" applyProtection="1">
      <alignment/>
      <protection hidden="1"/>
    </xf>
    <xf numFmtId="0" fontId="46" fillId="25" borderId="44"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29" xfId="0" applyFont="1" applyFill="1" applyBorder="1" applyAlignment="1" applyProtection="1">
      <alignment horizontal="center"/>
      <protection hidden="1"/>
    </xf>
    <xf numFmtId="177" fontId="45"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19" xfId="0" applyNumberFormat="1" applyFont="1" applyFill="1" applyBorder="1" applyAlignment="1" applyProtection="1">
      <alignment horizontal="center"/>
      <protection hidden="1"/>
    </xf>
    <xf numFmtId="177" fontId="0" fillId="22" borderId="73"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74" xfId="0" applyFont="1" applyFill="1" applyBorder="1" applyAlignment="1" applyProtection="1">
      <alignment horizontal="center"/>
      <protection hidden="1"/>
    </xf>
    <xf numFmtId="0" fontId="26" fillId="17" borderId="73" xfId="0" applyFont="1" applyFill="1" applyBorder="1" applyAlignment="1" applyProtection="1">
      <alignment/>
      <protection hidden="1"/>
    </xf>
    <xf numFmtId="0" fontId="26" fillId="17" borderId="19"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9"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3" xfId="0" applyFill="1" applyBorder="1" applyAlignment="1" applyProtection="1">
      <alignment horizontal="center"/>
      <protection hidden="1"/>
    </xf>
    <xf numFmtId="0" fontId="0" fillId="22" borderId="23"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0" fontId="0" fillId="17" borderId="53"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3" xfId="0" applyNumberFormat="1" applyFont="1" applyFill="1" applyBorder="1" applyAlignment="1" applyProtection="1">
      <alignment/>
      <protection hidden="1"/>
    </xf>
    <xf numFmtId="1" fontId="47" fillId="17" borderId="23" xfId="0" applyNumberFormat="1" applyFont="1" applyFill="1" applyBorder="1" applyAlignment="1" applyProtection="1">
      <alignment horizontal="center"/>
      <protection hidden="1"/>
    </xf>
    <xf numFmtId="1" fontId="26" fillId="22" borderId="23"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5" fillId="20" borderId="82" xfId="0" applyFont="1" applyFill="1" applyBorder="1" applyAlignment="1" applyProtection="1">
      <alignment horizontal="right"/>
      <protection hidden="1"/>
    </xf>
    <xf numFmtId="0" fontId="0" fillId="17" borderId="46"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3" xfId="0" applyFill="1" applyBorder="1" applyAlignment="1" applyProtection="1">
      <alignment horizontal="center"/>
      <protection locked="0"/>
    </xf>
    <xf numFmtId="0" fontId="32" fillId="26" borderId="23" xfId="0" applyFont="1" applyFill="1" applyBorder="1" applyAlignment="1" applyProtection="1">
      <alignment/>
      <protection locked="0"/>
    </xf>
    <xf numFmtId="0" fontId="0" fillId="26" borderId="57"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0" fontId="0" fillId="17" borderId="59"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7" xfId="0" applyFill="1" applyBorder="1" applyAlignment="1" applyProtection="1">
      <alignment/>
      <protection hidden="1"/>
    </xf>
    <xf numFmtId="1" fontId="46" fillId="0" borderId="0" xfId="0" applyNumberFormat="1" applyFont="1" applyAlignment="1" applyProtection="1">
      <alignment/>
      <protection hidden="1"/>
    </xf>
    <xf numFmtId="0" fontId="0" fillId="26" borderId="57"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2" fontId="0" fillId="26" borderId="59" xfId="0" applyNumberFormat="1" applyFont="1" applyFill="1" applyBorder="1" applyAlignment="1" applyProtection="1">
      <alignment/>
      <protection locked="0"/>
    </xf>
    <xf numFmtId="0" fontId="0" fillId="22" borderId="85"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5"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7"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7"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8"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0" xfId="0" applyNumberFormat="1" applyFont="1" applyFill="1" applyBorder="1" applyAlignment="1" applyProtection="1">
      <alignment/>
      <protection locked="0"/>
    </xf>
    <xf numFmtId="0" fontId="0" fillId="17" borderId="23" xfId="0" applyNumberFormat="1" applyFont="1" applyFill="1" applyBorder="1" applyAlignment="1" applyProtection="1">
      <alignment/>
      <protection hidden="1"/>
    </xf>
    <xf numFmtId="0" fontId="0" fillId="17" borderId="70"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5" fillId="20" borderId="87" xfId="0" applyFont="1" applyFill="1" applyBorder="1" applyAlignment="1" applyProtection="1">
      <alignment horizontal="right"/>
      <protection hidden="1"/>
    </xf>
    <xf numFmtId="0" fontId="45" fillId="20" borderId="87"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6" xfId="0" applyFont="1" applyFill="1" applyBorder="1" applyAlignment="1" applyProtection="1">
      <alignment/>
      <protection hidden="1"/>
    </xf>
    <xf numFmtId="0" fontId="0" fillId="17" borderId="19"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4" xfId="0" applyFill="1" applyBorder="1" applyAlignment="1" applyProtection="1">
      <alignment/>
      <protection hidden="1"/>
    </xf>
    <xf numFmtId="0" fontId="0" fillId="17" borderId="24" xfId="0" applyFill="1" applyBorder="1" applyAlignment="1" applyProtection="1">
      <alignment/>
      <protection hidden="1"/>
    </xf>
    <xf numFmtId="15" fontId="0" fillId="17" borderId="24" xfId="0" applyNumberFormat="1" applyFill="1" applyBorder="1" applyAlignment="1" applyProtection="1">
      <alignment/>
      <protection hidden="1"/>
    </xf>
    <xf numFmtId="2" fontId="0" fillId="17" borderId="24" xfId="0" applyNumberFormat="1" applyFill="1" applyBorder="1" applyAlignment="1" applyProtection="1">
      <alignment/>
      <protection hidden="1"/>
    </xf>
    <xf numFmtId="1" fontId="0" fillId="17" borderId="24"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7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4"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0"/>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6"/>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2"/>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06210450"/>
      <sheetName val="06207400"/>
      <sheetName val="06205455"/>
      <sheetName val="06202750"/>
      <sheetName val="06159385"/>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9">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1"/>
  <dimension ref="A1:BB94"/>
  <sheetViews>
    <sheetView showGridLines="0" showRowColHeaders="0" tabSelected="1" zoomScale="90" zoomScaleNormal="90" workbookViewId="0" topLeftCell="A1">
      <selection activeCell="X53" sqref="X53"/>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50"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50" customWidth="1"/>
    <col min="17" max="18" width="8.7109375" style="150" hidden="1" customWidth="1"/>
    <col min="19" max="19" width="7.00390625" style="150" hidden="1" customWidth="1"/>
    <col min="20" max="20" width="4.8515625" style="150" hidden="1" customWidth="1"/>
    <col min="21" max="21" width="17.421875" style="150" hidden="1" customWidth="1"/>
    <col min="22" max="22" width="11.28125" style="150" hidden="1" customWidth="1"/>
    <col min="23" max="23" width="23.8515625" style="11" customWidth="1"/>
    <col min="24" max="24" width="18.00390625" style="11" customWidth="1"/>
    <col min="25" max="25" width="11.421875" style="11" hidden="1" customWidth="1"/>
    <col min="26" max="26" width="8.140625" style="11" hidden="1" customWidth="1"/>
    <col min="27" max="27" width="6.28125" style="150"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23" t="s">
        <v>6</v>
      </c>
      <c r="D3" s="24"/>
      <c r="E3" s="24"/>
      <c r="F3" s="25"/>
      <c r="G3" s="25"/>
      <c r="H3" s="26"/>
      <c r="I3" s="27"/>
      <c r="J3" s="26"/>
      <c r="K3" s="28" t="s">
        <v>7</v>
      </c>
      <c r="L3" s="29"/>
      <c r="M3" s="30" t="s">
        <v>8</v>
      </c>
      <c r="N3" s="31"/>
      <c r="O3" s="31"/>
      <c r="P3" s="32"/>
      <c r="Q3" s="8"/>
      <c r="R3" s="8"/>
      <c r="S3" s="8"/>
      <c r="T3" s="8"/>
      <c r="U3" s="8"/>
      <c r="V3" s="8"/>
      <c r="W3" s="21"/>
      <c r="X3" s="22"/>
    </row>
    <row r="4" spans="1:24" ht="13.5" thickBot="1">
      <c r="A4" s="33">
        <v>39658</v>
      </c>
      <c r="B4" s="34"/>
      <c r="C4" s="35"/>
      <c r="D4" s="36"/>
      <c r="E4" s="36"/>
      <c r="F4" s="35"/>
      <c r="G4" s="35"/>
      <c r="H4" s="36"/>
      <c r="I4" s="37" t="s">
        <v>9</v>
      </c>
      <c r="J4" s="38"/>
      <c r="K4" s="38"/>
      <c r="L4" s="39"/>
      <c r="M4" s="39"/>
      <c r="N4" s="40" t="s">
        <v>10</v>
      </c>
      <c r="O4" s="39"/>
      <c r="P4" s="41"/>
      <c r="Q4" s="8"/>
      <c r="R4" s="8"/>
      <c r="S4" s="8"/>
      <c r="T4" s="8"/>
      <c r="U4" s="8"/>
      <c r="V4" s="8"/>
      <c r="W4" s="21"/>
      <c r="X4" s="42"/>
    </row>
    <row r="5" spans="1:24" ht="14.25" customHeight="1">
      <c r="A5" s="43" t="s">
        <v>11</v>
      </c>
      <c r="B5" s="44" t="s">
        <v>12</v>
      </c>
      <c r="C5" s="45" t="s">
        <v>13</v>
      </c>
      <c r="D5" s="46"/>
      <c r="E5" s="46"/>
      <c r="F5" s="47" t="s">
        <v>14</v>
      </c>
      <c r="G5" s="48"/>
      <c r="H5" s="46"/>
      <c r="I5" s="49"/>
      <c r="J5" s="50"/>
      <c r="K5" s="51" t="s">
        <v>15</v>
      </c>
      <c r="L5" s="52">
        <v>12.2</v>
      </c>
      <c r="M5" s="53"/>
      <c r="N5" s="54" t="s">
        <v>16</v>
      </c>
      <c r="O5" s="55">
        <v>10.333333333333334</v>
      </c>
      <c r="P5" s="56"/>
      <c r="Q5" s="8"/>
      <c r="R5" s="8"/>
      <c r="S5" s="8"/>
      <c r="T5" s="8"/>
      <c r="U5" s="8"/>
      <c r="V5" s="8"/>
      <c r="W5" s="21"/>
      <c r="X5" s="42"/>
    </row>
    <row r="6" spans="1:24" ht="13.5" thickBot="1">
      <c r="A6" s="43" t="s">
        <v>17</v>
      </c>
      <c r="B6" s="57" t="s">
        <v>18</v>
      </c>
      <c r="C6" s="58" t="s">
        <v>19</v>
      </c>
      <c r="D6" s="46"/>
      <c r="E6" s="46"/>
      <c r="F6" s="47"/>
      <c r="G6" s="48"/>
      <c r="H6" s="46"/>
      <c r="I6" s="59" t="s">
        <v>20</v>
      </c>
      <c r="J6" s="60"/>
      <c r="K6" s="61"/>
      <c r="L6" s="62" t="s">
        <v>21</v>
      </c>
      <c r="M6" s="63"/>
      <c r="N6" s="64" t="s">
        <v>22</v>
      </c>
      <c r="O6" s="64"/>
      <c r="P6" s="65"/>
      <c r="Q6" s="8"/>
      <c r="R6" s="8"/>
      <c r="S6" s="8"/>
      <c r="T6" s="8"/>
      <c r="U6" s="8"/>
      <c r="V6" s="8"/>
      <c r="W6" s="21"/>
      <c r="X6" s="22"/>
    </row>
    <row r="7" spans="1:24" ht="12.75">
      <c r="A7" s="66" t="s">
        <v>23</v>
      </c>
      <c r="B7" s="67">
        <v>90</v>
      </c>
      <c r="C7" s="68">
        <v>10</v>
      </c>
      <c r="D7" s="69"/>
      <c r="E7" s="69"/>
      <c r="F7" s="70">
        <f>IF((OR((B7+C7=100),(B7+C7=0))),B7+C7,"ATTENTION")</f>
        <v>100</v>
      </c>
      <c r="G7" s="71"/>
      <c r="H7" s="69"/>
      <c r="I7" s="72"/>
      <c r="J7" s="73"/>
      <c r="K7" s="74"/>
      <c r="L7" s="75"/>
      <c r="M7" s="76"/>
      <c r="N7" s="77" t="s">
        <v>24</v>
      </c>
      <c r="O7" s="78" t="s">
        <v>25</v>
      </c>
      <c r="P7" s="79"/>
      <c r="Q7" s="8"/>
      <c r="R7" s="8"/>
      <c r="S7" s="8"/>
      <c r="T7" s="8"/>
      <c r="U7" s="8"/>
      <c r="V7" s="8"/>
      <c r="W7" s="21"/>
      <c r="X7" s="22"/>
    </row>
    <row r="8" spans="1:24" ht="12.75">
      <c r="A8" s="80" t="s">
        <v>26</v>
      </c>
      <c r="B8" s="81"/>
      <c r="C8" s="81"/>
      <c r="D8" s="69"/>
      <c r="E8" s="69"/>
      <c r="F8" s="82" t="s">
        <v>27</v>
      </c>
      <c r="G8" s="83"/>
      <c r="H8" s="84"/>
      <c r="I8" s="72"/>
      <c r="J8" s="73"/>
      <c r="K8" s="74"/>
      <c r="L8" s="75"/>
      <c r="M8" s="85" t="s">
        <v>28</v>
      </c>
      <c r="N8" s="86">
        <f>IF(ISERROR(AVERAGE(I23:I82)),"     -",AVERAGE(I23:I82))</f>
        <v>11.5</v>
      </c>
      <c r="O8" s="86">
        <f>IF(ISERROR(AVERAGE(J23:J82)),"      -",AVERAGE(J23:J82))</f>
        <v>1.25</v>
      </c>
      <c r="P8" s="87"/>
      <c r="Q8" s="8"/>
      <c r="R8" s="8"/>
      <c r="S8" s="8"/>
      <c r="T8" s="8"/>
      <c r="U8" s="8"/>
      <c r="V8" s="8"/>
      <c r="W8" s="21"/>
      <c r="X8" s="22"/>
    </row>
    <row r="9" spans="1:24" ht="13.5" thickBot="1">
      <c r="A9" s="43" t="s">
        <v>29</v>
      </c>
      <c r="B9" s="88"/>
      <c r="C9" s="89"/>
      <c r="D9" s="90"/>
      <c r="E9" s="90"/>
      <c r="F9" s="91">
        <f>($B9*$B$7+$C9*$C$7)/100</f>
        <v>0</v>
      </c>
      <c r="G9" s="92"/>
      <c r="H9" s="93"/>
      <c r="I9" s="94"/>
      <c r="J9" s="95"/>
      <c r="K9" s="74"/>
      <c r="L9" s="96"/>
      <c r="M9" s="85" t="s">
        <v>30</v>
      </c>
      <c r="N9" s="86">
        <f>IF(ISERROR(STDEVP(I23:I82)),"     -",STDEVP(I23:I82))</f>
        <v>2.0615528128088303</v>
      </c>
      <c r="O9" s="86">
        <f>IF(ISERROR(STDEVP(J23:J82)),"      -",STDEVP(J23:J82))</f>
        <v>0.4330127018922193</v>
      </c>
      <c r="P9" s="87"/>
      <c r="Q9" s="8"/>
      <c r="R9" s="8"/>
      <c r="S9" s="8"/>
      <c r="T9" s="8"/>
      <c r="U9" s="8"/>
      <c r="V9" s="8"/>
      <c r="W9" s="97"/>
      <c r="X9" s="98"/>
    </row>
    <row r="10" spans="1:22" ht="13.5" thickTop="1">
      <c r="A10" s="99" t="s">
        <v>31</v>
      </c>
      <c r="B10" s="100"/>
      <c r="C10" s="101"/>
      <c r="D10" s="102"/>
      <c r="E10" s="102"/>
      <c r="F10" s="91"/>
      <c r="G10" s="92"/>
      <c r="H10" s="103"/>
      <c r="I10" s="104"/>
      <c r="J10" s="105" t="s">
        <v>32</v>
      </c>
      <c r="K10" s="105"/>
      <c r="L10" s="106"/>
      <c r="M10" s="107" t="s">
        <v>33</v>
      </c>
      <c r="N10" s="108">
        <f>MIN(I23:I82)</f>
        <v>10</v>
      </c>
      <c r="O10" s="108">
        <f>MIN(J23:J82)</f>
        <v>1</v>
      </c>
      <c r="P10" s="109"/>
      <c r="Q10" s="8"/>
      <c r="R10" s="8"/>
      <c r="S10" s="8"/>
      <c r="T10" s="8"/>
      <c r="U10" s="8"/>
      <c r="V10" s="8"/>
    </row>
    <row r="11" spans="1:22" ht="12.75">
      <c r="A11" s="110" t="s">
        <v>34</v>
      </c>
      <c r="B11" s="111">
        <v>0</v>
      </c>
      <c r="C11" s="112">
        <v>0</v>
      </c>
      <c r="D11" s="113"/>
      <c r="E11" s="113"/>
      <c r="F11" s="114">
        <f>($B11*$B$7+$C11*$C$7)/100</f>
        <v>0</v>
      </c>
      <c r="G11" s="115"/>
      <c r="H11" s="69"/>
      <c r="I11" s="116" t="s">
        <v>35</v>
      </c>
      <c r="J11" s="117"/>
      <c r="K11" s="118">
        <f>COUNTIF($G$23:$G$82,"=HET")</f>
        <v>0</v>
      </c>
      <c r="L11" s="119"/>
      <c r="M11" s="107" t="s">
        <v>36</v>
      </c>
      <c r="N11" s="108">
        <f>MAX(I23:I82)</f>
        <v>15</v>
      </c>
      <c r="O11" s="108">
        <f>MAX(J23:J82)</f>
        <v>2</v>
      </c>
      <c r="P11" s="109"/>
      <c r="Q11" s="8"/>
      <c r="R11" s="8"/>
      <c r="S11" s="8"/>
      <c r="T11" s="8"/>
      <c r="U11" s="8"/>
      <c r="V11" s="8"/>
    </row>
    <row r="12" spans="1:22" ht="12.75">
      <c r="A12" s="120" t="s">
        <v>37</v>
      </c>
      <c r="B12" s="121">
        <v>0.01</v>
      </c>
      <c r="C12" s="122">
        <v>0</v>
      </c>
      <c r="D12" s="113"/>
      <c r="E12" s="113"/>
      <c r="F12" s="114">
        <f>($B12*$B$7+$C12*$C$7)/100</f>
        <v>0.009000000000000001</v>
      </c>
      <c r="G12" s="123"/>
      <c r="H12" s="69"/>
      <c r="I12" s="124" t="s">
        <v>38</v>
      </c>
      <c r="J12" s="125"/>
      <c r="K12" s="118">
        <f>COUNTIF($G$23:$G$82,"=ALG")</f>
        <v>1</v>
      </c>
      <c r="L12" s="126"/>
      <c r="M12" s="127"/>
      <c r="N12" s="128" t="s">
        <v>32</v>
      </c>
      <c r="O12" s="129"/>
      <c r="P12" s="130"/>
      <c r="Q12" s="8"/>
      <c r="R12" s="8"/>
      <c r="S12" s="8"/>
      <c r="T12" s="8"/>
      <c r="U12" s="8"/>
      <c r="V12" s="8"/>
    </row>
    <row r="13" spans="1:22" ht="12.75">
      <c r="A13" s="120" t="s">
        <v>39</v>
      </c>
      <c r="B13" s="121">
        <v>0.01</v>
      </c>
      <c r="C13" s="122">
        <v>0</v>
      </c>
      <c r="D13" s="113"/>
      <c r="E13" s="113"/>
      <c r="F13" s="114">
        <f>($B13*$B$7+$C13*$C$7)/100</f>
        <v>0.009000000000000001</v>
      </c>
      <c r="G13" s="123"/>
      <c r="H13" s="69"/>
      <c r="I13" s="131" t="s">
        <v>40</v>
      </c>
      <c r="J13" s="125"/>
      <c r="K13" s="118">
        <f>COUNTIF($G$23:$G$82,"=BRm")+COUNTIF($G$23:$G$82,"=BRh")</f>
        <v>1</v>
      </c>
      <c r="L13" s="119"/>
      <c r="M13" s="132" t="s">
        <v>41</v>
      </c>
      <c r="N13" s="133">
        <f>COUNTIF(F23:F82,"&gt;0")</f>
        <v>6</v>
      </c>
      <c r="O13" s="134"/>
      <c r="P13" s="135"/>
      <c r="Q13" s="8"/>
      <c r="R13" s="8"/>
      <c r="S13" s="8"/>
      <c r="T13" s="8"/>
      <c r="U13" s="8"/>
      <c r="V13" s="8"/>
    </row>
    <row r="14" spans="1:22" ht="12.75">
      <c r="A14" s="120" t="s">
        <v>42</v>
      </c>
      <c r="B14" s="121">
        <v>0.01</v>
      </c>
      <c r="C14" s="122">
        <v>0</v>
      </c>
      <c r="D14" s="113"/>
      <c r="E14" s="113"/>
      <c r="F14" s="114">
        <f>($B14*$B$7+$C14*$C$7)/100</f>
        <v>0.009000000000000001</v>
      </c>
      <c r="G14" s="123"/>
      <c r="H14" s="69"/>
      <c r="I14" s="131" t="s">
        <v>43</v>
      </c>
      <c r="J14" s="125"/>
      <c r="K14" s="118">
        <f>COUNTIF($G$23:$G$82,"=PTE")+COUNTIF($G$23:$G$82,"=LIC")</f>
        <v>1</v>
      </c>
      <c r="L14" s="119"/>
      <c r="M14" s="136" t="s">
        <v>44</v>
      </c>
      <c r="N14" s="137">
        <f>COUNTIF($I$23:$I$82,"&gt;-1")</f>
        <v>4</v>
      </c>
      <c r="O14" s="138"/>
      <c r="P14" s="135"/>
      <c r="Q14" s="8"/>
      <c r="R14" s="8"/>
      <c r="S14" s="8"/>
      <c r="T14" s="8"/>
      <c r="U14" s="8"/>
      <c r="V14" s="8"/>
    </row>
    <row r="15" spans="1:22" ht="12.75">
      <c r="A15" s="139" t="s">
        <v>45</v>
      </c>
      <c r="B15" s="140">
        <v>0.04</v>
      </c>
      <c r="C15" s="141">
        <v>0.01</v>
      </c>
      <c r="D15" s="113"/>
      <c r="E15" s="113"/>
      <c r="F15" s="114">
        <f>($B15*$B$7+$C15*$C$7)/100</f>
        <v>0.037000000000000005</v>
      </c>
      <c r="G15" s="123"/>
      <c r="H15" s="69"/>
      <c r="I15" s="131" t="s">
        <v>46</v>
      </c>
      <c r="J15" s="125"/>
      <c r="K15" s="118">
        <f>(COUNTIF($G$23:$G$82,"=PHy"))+(COUNTIF($G$23:$G$82,"=PHe"))+(COUNTIF($G$23:$G$82,"=PHg"))+(COUNTIF($G$23:$G$82,"=PHx"))</f>
        <v>3</v>
      </c>
      <c r="L15" s="119"/>
      <c r="M15" s="142" t="s">
        <v>47</v>
      </c>
      <c r="N15" s="143">
        <f>COUNTIF(J23:J82,"=1")</f>
        <v>3</v>
      </c>
      <c r="O15" s="144"/>
      <c r="P15" s="135"/>
      <c r="Q15" s="8"/>
      <c r="R15" s="8"/>
      <c r="S15" s="8"/>
      <c r="T15" s="8"/>
      <c r="U15" s="8"/>
      <c r="V15" s="8"/>
    </row>
    <row r="16" spans="1:22" ht="12.75">
      <c r="A16" s="110" t="s">
        <v>48</v>
      </c>
      <c r="B16" s="111">
        <v>0</v>
      </c>
      <c r="C16" s="112">
        <v>0</v>
      </c>
      <c r="D16" s="145"/>
      <c r="E16" s="145"/>
      <c r="F16" s="146"/>
      <c r="G16" s="146">
        <f>($B16*$B$7+$C16*$C$7)/100</f>
        <v>0</v>
      </c>
      <c r="H16" s="69"/>
      <c r="I16" s="147"/>
      <c r="J16" s="148"/>
      <c r="K16" s="148"/>
      <c r="L16" s="119"/>
      <c r="M16" s="142" t="s">
        <v>49</v>
      </c>
      <c r="N16" s="143">
        <f>COUNTIF(J23:J82,"=2")</f>
        <v>1</v>
      </c>
      <c r="O16" s="144"/>
      <c r="P16" s="135"/>
      <c r="Q16" s="8"/>
      <c r="R16" s="8"/>
      <c r="S16" s="8"/>
      <c r="T16" s="8"/>
      <c r="U16" s="8"/>
      <c r="V16" s="8"/>
    </row>
    <row r="17" spans="1:22" ht="12.75">
      <c r="A17" s="120" t="s">
        <v>50</v>
      </c>
      <c r="B17" s="121">
        <v>0.02</v>
      </c>
      <c r="C17" s="122">
        <v>0</v>
      </c>
      <c r="D17" s="113"/>
      <c r="E17" s="113"/>
      <c r="F17" s="149"/>
      <c r="G17" s="114">
        <f>($B17*$B$7+$C17*$C$7)/100</f>
        <v>0.018000000000000002</v>
      </c>
      <c r="H17" s="69"/>
      <c r="I17" s="131"/>
      <c r="J17" s="125"/>
      <c r="K17" s="148"/>
      <c r="L17" s="119"/>
      <c r="M17" s="142" t="s">
        <v>51</v>
      </c>
      <c r="N17" s="143">
        <f>COUNTIF(J23:J82,"=3")</f>
        <v>0</v>
      </c>
      <c r="O17" s="144"/>
      <c r="P17" s="135"/>
      <c r="Q17" s="8"/>
      <c r="R17" s="8"/>
      <c r="S17" s="8"/>
      <c r="T17" s="8"/>
      <c r="U17" s="8"/>
      <c r="V17" s="8"/>
    </row>
    <row r="18" spans="1:23" ht="12.75">
      <c r="A18" s="151" t="s">
        <v>52</v>
      </c>
      <c r="B18" s="152">
        <v>0.05</v>
      </c>
      <c r="C18" s="153">
        <v>0.01</v>
      </c>
      <c r="D18" s="113"/>
      <c r="E18" s="154" t="s">
        <v>53</v>
      </c>
      <c r="F18" s="149"/>
      <c r="G18" s="114">
        <f>($B18*$B$7+$C18*$C$7)/100</f>
        <v>0.046</v>
      </c>
      <c r="H18" s="69"/>
      <c r="I18" s="131"/>
      <c r="J18" s="125"/>
      <c r="K18" s="148"/>
      <c r="L18" s="119"/>
      <c r="M18" s="155"/>
      <c r="N18" s="155"/>
      <c r="O18" s="144"/>
      <c r="P18" s="156"/>
      <c r="Q18" s="8"/>
      <c r="R18" s="8"/>
      <c r="S18" s="8"/>
      <c r="T18" s="8"/>
      <c r="U18" s="8"/>
      <c r="V18" s="8" t="s">
        <v>54</v>
      </c>
      <c r="W18" s="157" t="s">
        <v>54</v>
      </c>
    </row>
    <row r="19" spans="1:23" ht="13.5" thickBot="1">
      <c r="A19" s="158">
        <f>IF(AND(OR(AND((B9=""),(B7="")),(B9=""),AND(ISNUMBER(B9),ISNUMBER(B7))),OR(AND((C9=""),(C7="")),(C9=""),AND(ISNUMBER(C9),ISNUMBER(C7)))),"","ATTENTION: renseigner % faciès / station")</f>
      </c>
      <c r="B19" s="159"/>
      <c r="C19" s="160"/>
      <c r="D19" s="161">
        <f>IF(G19=F19,"","ATTENTION : le total par grp. floristiques doit être égal")</f>
      </c>
      <c r="E19" s="162">
        <f>IF(G19=F19,"","au total par grp. Fonctionnels !")</f>
      </c>
      <c r="F19" s="163">
        <f>SUM(F11:F15)</f>
        <v>0.064</v>
      </c>
      <c r="G19" s="163">
        <f>SUM(G16:G18)</f>
        <v>0.064</v>
      </c>
      <c r="H19" s="164"/>
      <c r="I19" s="165"/>
      <c r="J19" s="166"/>
      <c r="K19" s="167"/>
      <c r="L19" s="168"/>
      <c r="M19" s="169"/>
      <c r="N19" s="61"/>
      <c r="O19" s="170"/>
      <c r="P19" s="156"/>
      <c r="Q19" s="8"/>
      <c r="R19" s="8"/>
      <c r="S19" s="8"/>
      <c r="T19" s="8"/>
      <c r="U19" s="8"/>
      <c r="V19" s="8" t="s">
        <v>54</v>
      </c>
      <c r="W19" s="157" t="s">
        <v>54</v>
      </c>
    </row>
    <row r="20" spans="1:23" ht="12.75">
      <c r="A20" s="171" t="s">
        <v>93</v>
      </c>
      <c r="B20" s="172">
        <f>SUM(B23:B82)</f>
        <v>0.05</v>
      </c>
      <c r="C20" s="173">
        <f>SUM(C23:C82)</f>
        <v>0.01</v>
      </c>
      <c r="D20" s="174"/>
      <c r="E20" s="175" t="s">
        <v>53</v>
      </c>
      <c r="F20" s="176">
        <f>($B20*$B$7+$C20*$C$7)/100</f>
        <v>0.046</v>
      </c>
      <c r="G20" s="177"/>
      <c r="H20" s="178"/>
      <c r="I20" s="179"/>
      <c r="J20" s="179"/>
      <c r="K20" s="180"/>
      <c r="L20" s="47"/>
      <c r="M20" s="181"/>
      <c r="N20" s="181"/>
      <c r="O20" s="182"/>
      <c r="P20" s="183"/>
      <c r="Q20" s="184" t="s">
        <v>55</v>
      </c>
      <c r="R20" s="8"/>
      <c r="S20" s="8"/>
      <c r="T20" s="8"/>
      <c r="U20" s="8"/>
      <c r="V20" s="8" t="s">
        <v>54</v>
      </c>
      <c r="W20" s="157" t="s">
        <v>56</v>
      </c>
    </row>
    <row r="21" spans="1:23" ht="12.75">
      <c r="A21" s="185" t="s">
        <v>57</v>
      </c>
      <c r="B21" s="186">
        <f>B20*B7/100</f>
        <v>0.045</v>
      </c>
      <c r="C21" s="186">
        <f>C20*C7/100</f>
        <v>0.001</v>
      </c>
      <c r="D21" s="113" t="str">
        <f>IF(F21=0,"",IF((ABS(F21-F19))&gt;(0.2*F21),CONCATENATE(" rec. par taxa (",F21," %) supérieur à 20 % !"),""))</f>
        <v> rec. par taxa (0,046 %) supérieur à 20 % !</v>
      </c>
      <c r="E21" s="187" t="str">
        <f>IF(F21=0,"",IF((ABS(F21-F19))&gt;(0.2*F21),CONCATENATE("ATTENTION : écart entre rec. par grp (",F19," %) ","et",""),""))</f>
        <v>ATTENTION : écart entre rec. par grp (0,064 %) et</v>
      </c>
      <c r="F21" s="188">
        <f>B21+C21</f>
        <v>0.046</v>
      </c>
      <c r="G21" s="189"/>
      <c r="H21" s="113"/>
      <c r="I21" s="190"/>
      <c r="J21" s="190"/>
      <c r="K21" s="191"/>
      <c r="L21" s="191"/>
      <c r="M21" s="192"/>
      <c r="N21" s="192"/>
      <c r="O21" s="193"/>
      <c r="P21" s="194"/>
      <c r="Q21" s="195" t="s">
        <v>58</v>
      </c>
      <c r="R21" s="8"/>
      <c r="S21" s="8"/>
      <c r="T21" s="8"/>
      <c r="U21" s="8"/>
      <c r="V21" s="8" t="s">
        <v>54</v>
      </c>
      <c r="W21" s="157" t="s">
        <v>59</v>
      </c>
    </row>
    <row r="22" spans="1:29" ht="12.75">
      <c r="A22" s="196" t="s">
        <v>60</v>
      </c>
      <c r="B22" s="197" t="s">
        <v>61</v>
      </c>
      <c r="C22" s="198" t="s">
        <v>61</v>
      </c>
      <c r="D22" s="145"/>
      <c r="E22" s="145"/>
      <c r="F22" s="199" t="s">
        <v>62</v>
      </c>
      <c r="G22" s="200" t="s">
        <v>63</v>
      </c>
      <c r="H22" s="145"/>
      <c r="I22" s="201" t="s">
        <v>64</v>
      </c>
      <c r="J22" s="201" t="s">
        <v>65</v>
      </c>
      <c r="K22" s="202" t="s">
        <v>66</v>
      </c>
      <c r="L22" s="202"/>
      <c r="M22" s="202"/>
      <c r="N22" s="202"/>
      <c r="O22" s="203"/>
      <c r="P22" s="204" t="s">
        <v>67</v>
      </c>
      <c r="Q22" s="205" t="s">
        <v>68</v>
      </c>
      <c r="R22" s="206" t="s">
        <v>69</v>
      </c>
      <c r="S22" s="207" t="s">
        <v>70</v>
      </c>
      <c r="T22" s="208" t="s">
        <v>71</v>
      </c>
      <c r="U22" s="209" t="s">
        <v>72</v>
      </c>
      <c r="V22" s="207" t="s">
        <v>73</v>
      </c>
      <c r="Y22" s="8" t="s">
        <v>74</v>
      </c>
      <c r="Z22" s="8" t="s">
        <v>75</v>
      </c>
      <c r="AA22" s="210" t="s">
        <v>76</v>
      </c>
      <c r="AB22" s="210" t="s">
        <v>77</v>
      </c>
      <c r="AC22" s="211" t="s">
        <v>78</v>
      </c>
    </row>
    <row r="23" spans="1:54" ht="12.75">
      <c r="A23" s="212" t="s">
        <v>79</v>
      </c>
      <c r="B23" s="213">
        <v>0.01</v>
      </c>
      <c r="C23" s="112"/>
      <c r="D23" s="214" t="str">
        <f>IF(ISERROR(VLOOKUP($A23,'[1]liste reference'!$A$7:$D$904,2,0)),IF(ISERROR(VLOOKUP($A23,'[1]liste reference'!$B$7:$D$904,1,0)),"",VLOOKUP($A23,'[1]liste reference'!$B$7:$D$904,1,0)),VLOOKUP($A23,'[1]liste reference'!$A$7:$D$904,2,0))</f>
        <v>Oscillatoria sp.</v>
      </c>
      <c r="E23" s="214" t="e">
        <f>IF(D23="",,VLOOKUP(D23,D$22:D22,1,0))</f>
        <v>#N/A</v>
      </c>
      <c r="F23" s="215">
        <f aca="true" t="shared" si="0" ref="F23:F54">($B23*$B$7+$C23*$C$7)/100</f>
        <v>0.009000000000000001</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11</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Oscillatoria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1108</v>
      </c>
      <c r="Q23" s="222">
        <f aca="true" t="shared" si="1" ref="Q23:Q54">IF(ISTEXT(H23),"",(B23*$B$7/100)+(C23*$C$7/100))</f>
        <v>0.009000000000000001</v>
      </c>
      <c r="R23" s="223">
        <f aca="true" t="shared" si="2" ref="R23:R54">IF(OR(ISTEXT(H23),Q23=0),"",IF(Q23&lt;0.1,1,IF(Q23&lt;1,2,IF(Q23&lt;10,3,IF(Q23&lt;50,4,IF(Q23&gt;=50,5,""))))))</f>
        <v>1</v>
      </c>
      <c r="S23" s="223">
        <f aca="true" t="shared" si="3" ref="S23:S54">IF(ISERROR(R23*I23),0,R23*I23)</f>
        <v>11</v>
      </c>
      <c r="T23" s="223">
        <f aca="true" t="shared" si="4" ref="T23:T54">IF(ISERROR(R23*I23*J23),0,R23*I23*J23)</f>
        <v>11</v>
      </c>
      <c r="U23" s="223">
        <f aca="true" t="shared" si="5" ref="U23:U54">IF(ISERROR(R23*J23),0,R23*J23)</f>
        <v>1</v>
      </c>
      <c r="V23" s="224">
        <f aca="true" t="shared" si="6" ref="V23:V54">IF(AND(A23="",F23=0),"",IF(F23=0,"Il manque le(s) % de rec. !",""))</f>
      </c>
      <c r="W23" s="225" t="s">
        <v>54</v>
      </c>
      <c r="Y23" s="226" t="str">
        <f>IF(A23="new.cod","NEWCOD",IF(AND((Z23=""),ISTEXT(A23)),A23,IF(Z23="","",INDEX('[1]liste reference'!$A$8:$A$904,Z23))))</f>
        <v>OSCSPX</v>
      </c>
      <c r="Z23" s="8">
        <f>IF(ISERROR(MATCH(A23,'[1]liste reference'!$A$8:$A$904,0)),IF(ISERROR(MATCH(A23,'[1]liste reference'!$B$8:$B$904,0)),"",(MATCH(A23,'[1]liste reference'!$B$8:$B$904,0))),(MATCH(A23,'[1]liste reference'!$A$8:$A$904,0)))</f>
        <v>56</v>
      </c>
      <c r="AA23" s="227"/>
      <c r="AB23" s="228"/>
      <c r="AC23" s="228"/>
      <c r="BB23" s="8">
        <f aca="true" t="shared" si="7" ref="BB23:BB54">IF(A23="","",1)</f>
        <v>1</v>
      </c>
    </row>
    <row r="24" spans="1:54" ht="12.75">
      <c r="A24" s="229" t="s">
        <v>16</v>
      </c>
      <c r="B24" s="230">
        <v>0.01</v>
      </c>
      <c r="C24" s="122"/>
      <c r="D24" s="214" t="str">
        <f>IF(ISERROR(VLOOKUP($A24,'[1]liste reference'!$A$7:$D$904,2,0)),IF(ISERROR(VLOOKUP($A24,'[1]liste reference'!$B$7:$D$904,1,0)),"",VLOOKUP($A24,'[1]liste reference'!$B$7:$D$904,1,0)),VLOOKUP($A24,'[1]liste reference'!$A$7:$D$904,2,0))</f>
        <v>Amblystegium tenax</v>
      </c>
      <c r="E24" s="231" t="e">
        <f>IF(D24="",,VLOOKUP(D24,D$22:D23,1,0))</f>
        <v>#N/A</v>
      </c>
      <c r="F24" s="232">
        <f t="shared" si="0"/>
        <v>0.009000000000000001</v>
      </c>
      <c r="G24" s="216" t="str">
        <f>IF(A24="","",IF(ISERROR(VLOOKUP($A24,'[1]liste reference'!$A$7:$P$904,13,0)),IF(ISERROR(VLOOKUP($A24,'[1]liste reference'!$B$7:$P$904,12,0)),"    -",VLOOKUP($A24,'[1]liste reference'!$B$7:$P$904,12,0)),VLOOKUP($A24,'[1]liste reference'!$A$7:$P$904,13,0)))</f>
        <v>BRm</v>
      </c>
      <c r="H24" s="217">
        <f>IF(A24="","x",IF(ISERROR(VLOOKUP($A24,'[1]liste reference'!$A$8:$P$904,14,0)),IF(ISERROR(VLOOKUP($A24,'[1]liste reference'!$B$8:$P$904,13,0)),"x",VLOOKUP($A24,'[1]liste reference'!$B$8:$P$904,13,0)),VLOOKUP($A24,'[1]liste reference'!$A$8:$P$904,14,0)))</f>
        <v>5</v>
      </c>
      <c r="I24" s="218">
        <f>IF(ISNUMBER(H24),IF(ISERROR(VLOOKUP($A24,'[1]liste reference'!$A$7:$P$904,3,0)),IF(ISERROR(VLOOKUP($A24,'[1]liste reference'!$B$7:$P$904,2,0)),"",VLOOKUP($A24,'[1]liste reference'!$B$7:$P$904,2,0)),VLOOKUP($A24,'[1]liste reference'!$A$7:$P$904,3,0)),"")</f>
        <v>15</v>
      </c>
      <c r="J24" s="218">
        <f>IF(ISNUMBER(H24),IF(ISERROR(VLOOKUP($A24,'[1]liste reference'!$A$7:$P$904,4,0)),IF(ISERROR(VLOOKUP($A24,'[1]liste reference'!$B$7:$P$904,3,0)),"",VLOOKUP($A24,'[1]liste reference'!$B$7:$P$904,3,0)),VLOOKUP($A24,'[1]liste reference'!$A$7:$P$904,4,0)),"")</f>
        <v>2</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Amblystegium tenax</v>
      </c>
      <c r="L24" s="233"/>
      <c r="M24" s="233"/>
      <c r="N24" s="233"/>
      <c r="O24" s="221"/>
      <c r="P24" s="221">
        <f>IF($A24="NEWCOD",IF($AC24="","No",$AC24),IF(ISTEXT($E24),"DEJA SAISI !",IF($A24="","",IF(ISERROR(VLOOKUP($A24,'[1]liste reference'!A:S,19,FALSE)),IF(ISERROR(VLOOKUP($A24,'[1]liste reference'!B:S,19,FALSE)),"",VLOOKUP($A24,'[1]liste reference'!B:S,19,FALSE)),VLOOKUP($A24,'[1]liste reference'!A:S,19,FALSE)))))</f>
        <v>10210</v>
      </c>
      <c r="Q24" s="222">
        <f t="shared" si="1"/>
        <v>0.009000000000000001</v>
      </c>
      <c r="R24" s="223">
        <f t="shared" si="2"/>
        <v>1</v>
      </c>
      <c r="S24" s="223">
        <f t="shared" si="3"/>
        <v>15</v>
      </c>
      <c r="T24" s="223">
        <f t="shared" si="4"/>
        <v>30</v>
      </c>
      <c r="U24" s="234">
        <f t="shared" si="5"/>
        <v>2</v>
      </c>
      <c r="V24" s="224">
        <f t="shared" si="6"/>
      </c>
      <c r="W24" s="225" t="s">
        <v>54</v>
      </c>
      <c r="Y24" s="226" t="str">
        <f>IF(A24="new.cod","NEWCOD",IF(AND((Z24=""),ISTEXT(A24)),A24,IF(Z24="","",INDEX('[1]liste reference'!$A$8:$A$904,Z24))))</f>
        <v>AMBTEN</v>
      </c>
      <c r="Z24" s="8">
        <f>IF(ISERROR(MATCH(A24,'[1]liste reference'!$A$8:$A$904,0)),IF(ISERROR(MATCH(A24,'[1]liste reference'!$B$8:$B$904,0)),"",(MATCH(A24,'[1]liste reference'!$B$8:$B$904,0))),(MATCH(A24,'[1]liste reference'!$A$8:$A$904,0)))</f>
        <v>150</v>
      </c>
      <c r="AA24" s="227"/>
      <c r="AB24" s="228"/>
      <c r="AC24" s="228"/>
      <c r="BB24" s="8">
        <f t="shared" si="7"/>
        <v>1</v>
      </c>
    </row>
    <row r="25" spans="1:54" ht="12.75">
      <c r="A25" s="229" t="s">
        <v>80</v>
      </c>
      <c r="B25" s="230">
        <v>0.01</v>
      </c>
      <c r="C25" s="122"/>
      <c r="D25" s="214" t="str">
        <f>IF(ISERROR(VLOOKUP($A25,'[1]liste reference'!$A$7:$D$904,2,0)),IF(ISERROR(VLOOKUP($A25,'[1]liste reference'!$B$7:$D$904,1,0)),"",VLOOKUP($A25,'[1]liste reference'!$B$7:$D$904,1,0)),VLOOKUP($A25,'[1]liste reference'!$A$7:$D$904,2,0))</f>
        <v>Phalaris arundinacea</v>
      </c>
      <c r="E25" s="231" t="e">
        <f>IF(D25="",,VLOOKUP(D25,D$22:D24,1,0))</f>
        <v>#N/A</v>
      </c>
      <c r="F25" s="232">
        <f t="shared" si="0"/>
        <v>0.009000000000000001</v>
      </c>
      <c r="G25" s="216" t="str">
        <f>IF(A25="","",IF(ISERROR(VLOOKUP($A25,'[1]liste reference'!$A$7:$P$904,13,0)),IF(ISERROR(VLOOKUP($A25,'[1]liste reference'!$B$7:$P$904,12,0)),"    -",VLOOKUP($A25,'[1]liste reference'!$B$7:$P$904,12,0)),VLOOKUP($A25,'[1]liste reference'!$A$7:$P$904,13,0)))</f>
        <v>PHe</v>
      </c>
      <c r="H25" s="217">
        <f>IF(A25="","x",IF(ISERROR(VLOOKUP($A25,'[1]liste reference'!$A$8:$P$904,14,0)),IF(ISERROR(VLOOKUP($A25,'[1]liste reference'!$B$8:$P$904,13,0)),"x",VLOOKUP($A25,'[1]liste reference'!$B$8:$P$904,13,0)),VLOOKUP($A25,'[1]liste reference'!$A$8:$P$904,14,0)))</f>
        <v>8</v>
      </c>
      <c r="I25" s="218">
        <f>IF(ISNUMBER(H25),IF(ISERROR(VLOOKUP($A25,'[1]liste reference'!$A$7:$P$904,3,0)),IF(ISERROR(VLOOKUP($A25,'[1]liste reference'!$B$7:$P$904,2,0)),"",VLOOKUP($A25,'[1]liste reference'!$B$7:$P$904,2,0)),VLOOKUP($A25,'[1]liste reference'!$A$7:$P$904,3,0)),"")</f>
        <v>10</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Phalaris arundinacea</v>
      </c>
      <c r="L25" s="233"/>
      <c r="M25" s="233"/>
      <c r="N25" s="233"/>
      <c r="O25" s="221"/>
      <c r="P25" s="221">
        <f>IF($A25="NEWCOD",IF($AC25="","No",$AC25),IF(ISTEXT($E25),"DEJA SAISI !",IF($A25="","",IF(ISERROR(VLOOKUP($A25,'[1]liste reference'!A:S,19,FALSE)),IF(ISERROR(VLOOKUP($A25,'[1]liste reference'!B:S,19,FALSE)),"",VLOOKUP($A25,'[1]liste reference'!B:S,19,FALSE)),VLOOKUP($A25,'[1]liste reference'!A:S,19,FALSE)))))</f>
        <v>1577</v>
      </c>
      <c r="Q25" s="222">
        <f t="shared" si="1"/>
        <v>0.009000000000000001</v>
      </c>
      <c r="R25" s="223">
        <f t="shared" si="2"/>
        <v>1</v>
      </c>
      <c r="S25" s="223">
        <f t="shared" si="3"/>
        <v>10</v>
      </c>
      <c r="T25" s="223">
        <f t="shared" si="4"/>
        <v>10</v>
      </c>
      <c r="U25" s="234">
        <f t="shared" si="5"/>
        <v>1</v>
      </c>
      <c r="V25" s="224">
        <f t="shared" si="6"/>
      </c>
      <c r="W25" s="225" t="s">
        <v>54</v>
      </c>
      <c r="Y25" s="226" t="str">
        <f>IF(A25="new.cod","NEWCOD",IF(AND((Z25=""),ISTEXT(A25)),A25,IF(Z25="","",INDEX('[1]liste reference'!$A$8:$A$904,Z25))))</f>
        <v>PHAARU</v>
      </c>
      <c r="Z25" s="8">
        <f>IF(ISERROR(MATCH(A25,'[1]liste reference'!$A$8:$A$904,0)),IF(ISERROR(MATCH(A25,'[1]liste reference'!$B$8:$B$904,0)),"",(MATCH(A25,'[1]liste reference'!$B$8:$B$904,0))),(MATCH(A25,'[1]liste reference'!$A$8:$A$904,0)))</f>
        <v>634</v>
      </c>
      <c r="AA25" s="227"/>
      <c r="AB25" s="228"/>
      <c r="AC25" s="228"/>
      <c r="BB25" s="8">
        <f t="shared" si="7"/>
        <v>1</v>
      </c>
    </row>
    <row r="26" spans="1:54" ht="12.75">
      <c r="A26" s="229" t="s">
        <v>81</v>
      </c>
      <c r="B26" s="230"/>
      <c r="C26" s="122">
        <v>0.01</v>
      </c>
      <c r="D26" s="214" t="str">
        <f>IF(ISERROR(VLOOKUP($A26,'[1]liste reference'!$A$7:$D$904,2,0)),IF(ISERROR(VLOOKUP($A26,'[1]liste reference'!$B$7:$D$904,1,0)),"",VLOOKUP($A26,'[1]liste reference'!$B$7:$D$904,1,0)),VLOOKUP($A26,'[1]liste reference'!$A$7:$D$904,2,0))</f>
        <v>Carex sp.</v>
      </c>
      <c r="E26" s="231" t="e">
        <f>IF(D26="",,VLOOKUP(D26,D$22:D25,1,0))</f>
        <v>#N/A</v>
      </c>
      <c r="F26" s="232">
        <f t="shared" si="0"/>
        <v>0.001</v>
      </c>
      <c r="G26" s="216" t="str">
        <f>IF(A26="","",IF(ISERROR(VLOOKUP($A26,'[1]liste reference'!$A$7:$P$904,13,0)),IF(ISERROR(VLOOKUP($A26,'[1]liste reference'!$B$7:$P$904,12,0)),"    -",VLOOKUP($A26,'[1]liste reference'!$B$7:$P$904,12,0)),VLOOKUP($A26,'[1]liste reference'!$A$7:$P$904,13,0)))</f>
        <v>PHe</v>
      </c>
      <c r="H26" s="217">
        <f>IF(A26="","x",IF(ISERROR(VLOOKUP($A26,'[1]liste reference'!$A$8:$P$904,14,0)),IF(ISERROR(VLOOKUP($A26,'[1]liste reference'!$B$8:$P$904,13,0)),"x",VLOOKUP($A26,'[1]liste reference'!$B$8:$P$904,13,0)),VLOOKUP($A26,'[1]liste reference'!$A$8:$P$904,14,0)))</f>
        <v>8</v>
      </c>
      <c r="I26" s="218">
        <f>IF(ISNUMBER(H26),IF(ISERROR(VLOOKUP($A26,'[1]liste reference'!$A$7:$P$904,3,0)),IF(ISERROR(VLOOKUP($A26,'[1]liste reference'!$B$7:$P$904,2,0)),"",VLOOKUP($A26,'[1]liste reference'!$B$7:$P$904,2,0)),VLOOKUP($A26,'[1]liste reference'!$A$7:$P$904,3,0)),"")</f>
      </c>
      <c r="J26" s="218">
        <f>IF(ISNUMBER(H26),IF(ISERROR(VLOOKUP($A26,'[1]liste reference'!$A$7:$P$904,4,0)),IF(ISERROR(VLOOKUP($A26,'[1]liste reference'!$B$7:$P$904,3,0)),"",VLOOKUP($A26,'[1]liste reference'!$B$7:$P$904,3,0)),VLOOKUP($A26,'[1]liste reference'!$A$7:$P$904,4,0)),"")</f>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Carex sp.</v>
      </c>
      <c r="L26" s="233"/>
      <c r="M26" s="233"/>
      <c r="N26" s="233"/>
      <c r="O26" s="221"/>
      <c r="P26" s="221">
        <f>IF($A26="NEWCOD",IF($AC26="","No",$AC26),IF(ISTEXT($E26),"DEJA SAISI !",IF($A26="","",IF(ISERROR(VLOOKUP($A26,'[1]liste reference'!A:S,19,FALSE)),IF(ISERROR(VLOOKUP($A26,'[1]liste reference'!B:S,19,FALSE)),"",VLOOKUP($A26,'[1]liste reference'!B:S,19,FALSE)),VLOOKUP($A26,'[1]liste reference'!A:S,19,FALSE)))))</f>
        <v>1466</v>
      </c>
      <c r="Q26" s="222">
        <f t="shared" si="1"/>
        <v>0.001</v>
      </c>
      <c r="R26" s="223">
        <f t="shared" si="2"/>
        <v>1</v>
      </c>
      <c r="S26" s="223">
        <f t="shared" si="3"/>
        <v>0</v>
      </c>
      <c r="T26" s="223">
        <f t="shared" si="4"/>
        <v>0</v>
      </c>
      <c r="U26" s="234">
        <f t="shared" si="5"/>
        <v>0</v>
      </c>
      <c r="V26" s="224">
        <f t="shared" si="6"/>
      </c>
      <c r="W26" s="225" t="s">
        <v>54</v>
      </c>
      <c r="Y26" s="226" t="str">
        <f>IF(A26="new.cod","NEWCOD",IF(AND((Z26=""),ISTEXT(A26)),A26,IF(Z26="","",INDEX('[1]liste reference'!$A$8:$A$904,Z26))))</f>
        <v>CARSPX</v>
      </c>
      <c r="Z26" s="8">
        <f>IF(ISERROR(MATCH(A26,'[1]liste reference'!$A$8:$A$904,0)),IF(ISERROR(MATCH(A26,'[1]liste reference'!$B$8:$B$904,0)),"",(MATCH(A26,'[1]liste reference'!$B$8:$B$904,0))),(MATCH(A26,'[1]liste reference'!$A$8:$A$904,0)))</f>
        <v>545</v>
      </c>
      <c r="AA26" s="227"/>
      <c r="AB26" s="228"/>
      <c r="AC26" s="228"/>
      <c r="BB26" s="8">
        <f t="shared" si="7"/>
        <v>1</v>
      </c>
    </row>
    <row r="27" spans="1:54" ht="12.75">
      <c r="A27" s="229" t="s">
        <v>82</v>
      </c>
      <c r="B27" s="230">
        <v>0.01</v>
      </c>
      <c r="C27" s="122"/>
      <c r="D27" s="214" t="str">
        <f>IF(ISERROR(VLOOKUP($A27,'[1]liste reference'!$A$7:$D$904,2,0)),IF(ISERROR(VLOOKUP($A27,'[1]liste reference'!$B$7:$D$904,1,0)),"",VLOOKUP($A27,'[1]liste reference'!$B$7:$D$904,1,0)),VLOOKUP($A27,'[1]liste reference'!$A$7:$D$904,2,0))</f>
        <v>Equisetum palustre</v>
      </c>
      <c r="E27" s="231" t="e">
        <f>IF(D27="",,VLOOKUP(D27,D$22:D26,1,0))</f>
        <v>#N/A</v>
      </c>
      <c r="F27" s="232">
        <f t="shared" si="0"/>
        <v>0.009000000000000001</v>
      </c>
      <c r="G27" s="216" t="str">
        <f>IF(A27="","",IF(ISERROR(VLOOKUP($A27,'[1]liste reference'!$A$7:$P$904,13,0)),IF(ISERROR(VLOOKUP($A27,'[1]liste reference'!$B$7:$P$904,12,0)),"    -",VLOOKUP($A27,'[1]liste reference'!$B$7:$P$904,12,0)),VLOOKUP($A27,'[1]liste reference'!$A$7:$P$904,13,0)))</f>
        <v>PTE</v>
      </c>
      <c r="H27" s="217">
        <f>IF(A27="","x",IF(ISERROR(VLOOKUP($A27,'[1]liste reference'!$A$8:$P$904,14,0)),IF(ISERROR(VLOOKUP($A27,'[1]liste reference'!$B$8:$P$904,13,0)),"x",VLOOKUP($A27,'[1]liste reference'!$B$8:$P$904,13,0)),VLOOKUP($A27,'[1]liste reference'!$A$8:$P$904,14,0)))</f>
        <v>6</v>
      </c>
      <c r="I27" s="218">
        <f>IF(ISNUMBER(H27),IF(ISERROR(VLOOKUP($A27,'[1]liste reference'!$A$7:$P$904,3,0)),IF(ISERROR(VLOOKUP($A27,'[1]liste reference'!$B$7:$P$904,2,0)),"",VLOOKUP($A27,'[1]liste reference'!$B$7:$P$904,2,0)),VLOOKUP($A27,'[1]liste reference'!$A$7:$P$904,3,0)),"")</f>
        <v>10</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Equisetum palustre</v>
      </c>
      <c r="L27" s="233"/>
      <c r="M27" s="233"/>
      <c r="N27" s="233"/>
      <c r="O27" s="221"/>
      <c r="P27" s="221">
        <f>IF($A27="NEWCOD",IF($AC27="","No",$AC27),IF(ISTEXT($E27),"DEJA SAISI !",IF($A27="","",IF(ISERROR(VLOOKUP($A27,'[1]liste reference'!A:S,19,FALSE)),IF(ISERROR(VLOOKUP($A27,'[1]liste reference'!B:S,19,FALSE)),"",VLOOKUP($A27,'[1]liste reference'!B:S,19,FALSE)),VLOOKUP($A27,'[1]liste reference'!A:S,19,FALSE)))))</f>
        <v>1387</v>
      </c>
      <c r="Q27" s="222">
        <f t="shared" si="1"/>
        <v>0.009000000000000001</v>
      </c>
      <c r="R27" s="223">
        <f t="shared" si="2"/>
        <v>1</v>
      </c>
      <c r="S27" s="223">
        <f t="shared" si="3"/>
        <v>10</v>
      </c>
      <c r="T27" s="223">
        <f t="shared" si="4"/>
        <v>10</v>
      </c>
      <c r="U27" s="234">
        <f t="shared" si="5"/>
        <v>1</v>
      </c>
      <c r="V27" s="224">
        <f t="shared" si="6"/>
      </c>
      <c r="W27" s="235" t="s">
        <v>54</v>
      </c>
      <c r="Y27" s="226" t="str">
        <f>IF(A27="new.cod","NEWCOD",IF(AND((Z27=""),ISTEXT(A27)),A27,IF(Z27="","",INDEX('[1]liste reference'!$A$8:$A$904,Z27))))</f>
        <v>EQUPAL</v>
      </c>
      <c r="Z27" s="8">
        <f>IF(ISERROR(MATCH(A27,'[1]liste reference'!$A$8:$A$904,0)),IF(ISERROR(MATCH(A27,'[1]liste reference'!$B$8:$B$904,0)),"",(MATCH(A27,'[1]liste reference'!$B$8:$B$904,0))),(MATCH(A27,'[1]liste reference'!$A$8:$A$904,0)))</f>
        <v>281</v>
      </c>
      <c r="AA27" s="227"/>
      <c r="AB27" s="228"/>
      <c r="AC27" s="228"/>
      <c r="BB27" s="8">
        <f t="shared" si="7"/>
        <v>1</v>
      </c>
    </row>
    <row r="28" spans="1:54" ht="12.75">
      <c r="A28" s="229" t="s">
        <v>83</v>
      </c>
      <c r="B28" s="230">
        <v>0.01</v>
      </c>
      <c r="C28" s="122"/>
      <c r="D28" s="214" t="str">
        <f>IF(ISERROR(VLOOKUP($A28,'[1]liste reference'!$A$7:$D$904,2,0)),IF(ISERROR(VLOOKUP($A28,'[1]liste reference'!$B$7:$D$904,1,0)),"",VLOOKUP($A28,'[1]liste reference'!$B$7:$D$904,1,0)),VLOOKUP($A28,'[1]liste reference'!$A$7:$D$904,2,0))</f>
        <v>Rumex sp.</v>
      </c>
      <c r="E28" s="231" t="e">
        <f>IF(D28="",,VLOOKUP(D28,D$22:D27,1,0))</f>
        <v>#N/A</v>
      </c>
      <c r="F28" s="232">
        <f t="shared" si="0"/>
        <v>0.009000000000000001</v>
      </c>
      <c r="G28" s="216" t="str">
        <f>IF(A28="","",IF(ISERROR(VLOOKUP($A28,'[1]liste reference'!$A$7:$P$904,13,0)),IF(ISERROR(VLOOKUP($A28,'[1]liste reference'!$B$7:$P$904,12,0)),"    -",VLOOKUP($A28,'[1]liste reference'!$B$7:$P$904,12,0)),VLOOKUP($A28,'[1]liste reference'!$A$7:$P$904,13,0)))</f>
        <v>PHg</v>
      </c>
      <c r="H28" s="217">
        <f>IF(A28="","x",IF(ISERROR(VLOOKUP($A28,'[1]liste reference'!$A$8:$P$904,14,0)),IF(ISERROR(VLOOKUP($A28,'[1]liste reference'!$B$8:$P$904,13,0)),"x",VLOOKUP($A28,'[1]liste reference'!$B$8:$P$904,13,0)),VLOOKUP($A28,'[1]liste reference'!$A$8:$P$904,14,0)))</f>
        <v>9</v>
      </c>
      <c r="I28" s="218">
        <f>IF(ISNUMBER(H28),IF(ISERROR(VLOOKUP($A28,'[1]liste reference'!$A$7:$P$904,3,0)),IF(ISERROR(VLOOKUP($A28,'[1]liste reference'!$B$7:$P$904,2,0)),"",VLOOKUP($A28,'[1]liste reference'!$B$7:$P$904,2,0)),VLOOKUP($A28,'[1]liste reference'!$A$7:$P$904,3,0)),"")</f>
      </c>
      <c r="J28" s="218">
        <f>IF(ISNUMBER(H28),IF(ISERROR(VLOOKUP($A28,'[1]liste reference'!$A$7:$P$904,4,0)),IF(ISERROR(VLOOKUP($A28,'[1]liste reference'!$B$7:$P$904,3,0)),"",VLOOKUP($A28,'[1]liste reference'!$B$7:$P$904,3,0)),VLOOKUP($A28,'[1]liste reference'!$A$7:$P$904,4,0)),"")</f>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Rumex sp.</v>
      </c>
      <c r="L28" s="233"/>
      <c r="M28" s="233"/>
      <c r="N28" s="233"/>
      <c r="O28" s="221"/>
      <c r="P28" s="221">
        <f>IF($A28="NEWCOD",IF($AC28="","No",$AC28),IF(ISTEXT($E28),"DEJA SAISI !",IF($A28="","",IF(ISERROR(VLOOKUP($A28,'[1]liste reference'!A:S,19,FALSE)),IF(ISERROR(VLOOKUP($A28,'[1]liste reference'!B:S,19,FALSE)),"",VLOOKUP($A28,'[1]liste reference'!B:S,19,FALSE)),VLOOKUP($A28,'[1]liste reference'!A:S,19,FALSE)))))</f>
        <v>1870</v>
      </c>
      <c r="Q28" s="222">
        <f t="shared" si="1"/>
        <v>0.009000000000000001</v>
      </c>
      <c r="R28" s="223">
        <f t="shared" si="2"/>
        <v>1</v>
      </c>
      <c r="S28" s="223">
        <f t="shared" si="3"/>
        <v>0</v>
      </c>
      <c r="T28" s="223">
        <f t="shared" si="4"/>
        <v>0</v>
      </c>
      <c r="U28" s="234">
        <f t="shared" si="5"/>
        <v>0</v>
      </c>
      <c r="V28" s="224">
        <f t="shared" si="6"/>
      </c>
      <c r="W28" s="225" t="s">
        <v>54</v>
      </c>
      <c r="Y28" s="226" t="str">
        <f>IF(A28="new.cod","NEWCOD",IF(AND((Z28=""),ISTEXT(A28)),A28,IF(Z28="","",INDEX('[1]liste reference'!$A$8:$A$904,Z28))))</f>
        <v>RUMSPX</v>
      </c>
      <c r="Z28" s="8">
        <f>IF(ISERROR(MATCH(A28,'[1]liste reference'!$A$8:$A$904,0)),IF(ISERROR(MATCH(A28,'[1]liste reference'!$B$8:$B$904,0)),"",(MATCH(A28,'[1]liste reference'!$B$8:$B$904,0))),(MATCH(A28,'[1]liste reference'!$A$8:$A$904,0)))</f>
        <v>813</v>
      </c>
      <c r="AA28" s="227"/>
      <c r="AB28" s="228"/>
      <c r="AC28" s="228"/>
      <c r="BB28" s="8">
        <f t="shared" si="7"/>
        <v>1</v>
      </c>
    </row>
    <row r="29" spans="1:54" ht="12.75">
      <c r="A29" s="236" t="s">
        <v>54</v>
      </c>
      <c r="B29" s="237"/>
      <c r="C29" s="238"/>
      <c r="D29" s="214">
        <f>IF(ISERROR(VLOOKUP($A29,'[1]liste reference'!$A$7:$D$904,2,0)),IF(ISERROR(VLOOKUP($A29,'[1]liste reference'!$B$7:$D$904,1,0)),"",VLOOKUP($A29,'[1]liste reference'!$B$7:$D$904,1,0)),VLOOKUP($A29,'[1]liste reference'!$A$7:$D$904,2,0))</f>
      </c>
      <c r="E29" s="231">
        <f>IF(D29="",,VLOOKUP(D29,D$22:D28,1,0))</f>
        <v>0</v>
      </c>
      <c r="F29" s="232">
        <f t="shared" si="0"/>
        <v>0</v>
      </c>
      <c r="G29" s="216">
        <f>IF(A29="","",IF(ISERROR(VLOOKUP($A29,'[1]liste reference'!$A$7:$P$904,13,0)),IF(ISERROR(VLOOKUP($A29,'[1]liste reference'!$B$7:$P$904,12,0)),"    -",VLOOKUP($A29,'[1]liste reference'!$B$7:$P$904,12,0)),VLOOKUP($A29,'[1]liste reference'!$A$7:$P$904,13,0)))</f>
      </c>
      <c r="H29" s="217" t="str">
        <f>IF(A29="","x",IF(ISERROR(VLOOKUP($A29,'[1]liste reference'!$A$8:$P$904,14,0)),IF(ISERROR(VLOOKUP($A29,'[1]liste reference'!$B$8:$P$904,13,0)),"x",VLOOKUP($A29,'[1]liste reference'!$B$8:$P$904,13,0)),VLOOKUP($A29,'[1]liste reference'!$A$8:$P$904,14,0)))</f>
        <v>x</v>
      </c>
      <c r="I29" s="218">
        <f>IF(ISNUMBER(H29),IF(ISERROR(VLOOKUP($A29,'[1]liste reference'!$A$7:$P$904,3,0)),IF(ISERROR(VLOOKUP($A29,'[1]liste reference'!$B$7:$P$904,2,0)),"",VLOOKUP($A29,'[1]liste reference'!$B$7:$P$904,2,0)),VLOOKUP($A29,'[1]liste reference'!$A$7:$P$904,3,0)),"")</f>
      </c>
      <c r="J29" s="218">
        <f>IF(ISNUMBER(H29),IF(ISERROR(VLOOKUP($A29,'[1]liste reference'!$A$7:$P$904,4,0)),IF(ISERROR(VLOOKUP($A29,'[1]liste reference'!$B$7:$P$904,3,0)),"",VLOOKUP($A29,'[1]liste reference'!$B$7:$P$904,3,0)),VLOOKUP($A29,'[1]liste reference'!$A$7:$P$904,4,0)),"")</f>
      </c>
      <c r="K29" s="219">
        <f>IF(A29="NEWCOD",IF(AB29="","Remplir le champs 'Nouveau taxa' svp.",$AB29),IF(ISTEXT($E29),"DEJA SAISI !",IF(A29="","",IF(ISERROR(VLOOKUP($A29,'[1]liste reference'!$A$7:$D$904,2,0)),IF(ISERROR(VLOOKUP($A29,'[1]liste reference'!$B$7:$D$904,1,0)),"code non répertorié ou synonyme",VLOOKUP($A29,'[1]liste reference'!$B$7:$D$904,1,0)),VLOOKUP(A29,'[1]liste reference'!$A$7:$D$904,2,0)))))</f>
      </c>
      <c r="L29" s="233"/>
      <c r="M29" s="233"/>
      <c r="N29" s="233"/>
      <c r="O29" s="221"/>
      <c r="P29" s="221">
        <f>IF($A29="NEWCOD",IF($AC29="","No",$AC29),IF(ISTEXT($E29),"DEJA SAISI !",IF($A29="","",IF(ISERROR(VLOOKUP($A29,'[1]liste reference'!A:S,19,FALSE)),IF(ISERROR(VLOOKUP($A29,'[1]liste reference'!B:S,19,FALSE)),"",VLOOKUP($A29,'[1]liste reference'!B:S,19,FALSE)),VLOOKUP($A29,'[1]liste reference'!A:S,19,FALSE)))))</f>
      </c>
      <c r="Q29" s="222">
        <f t="shared" si="1"/>
      </c>
      <c r="R29" s="223">
        <f t="shared" si="2"/>
      </c>
      <c r="S29" s="223">
        <f t="shared" si="3"/>
        <v>0</v>
      </c>
      <c r="T29" s="223">
        <f t="shared" si="4"/>
        <v>0</v>
      </c>
      <c r="U29" s="234">
        <f t="shared" si="5"/>
        <v>0</v>
      </c>
      <c r="V29" s="224">
        <f t="shared" si="6"/>
      </c>
      <c r="W29" s="225" t="s">
        <v>54</v>
      </c>
      <c r="X29" s="225"/>
      <c r="Y29" s="226">
        <f>IF(A29="new.cod","NEWCOD",IF(AND((Z29=""),ISTEXT(A29)),A29,IF(Z29="","",INDEX('[1]liste reference'!$A$8:$A$904,Z29))))</f>
      </c>
      <c r="Z29" s="8">
        <f>IF(ISERROR(MATCH(A29,'[1]liste reference'!$A$8:$A$904,0)),IF(ISERROR(MATCH(A29,'[1]liste reference'!$B$8:$B$904,0)),"",(MATCH(A29,'[1]liste reference'!$B$8:$B$904,0))),(MATCH(A29,'[1]liste reference'!$A$8:$A$904,0)))</f>
      </c>
      <c r="AA29" s="227"/>
      <c r="AB29" s="228"/>
      <c r="AC29" s="228"/>
      <c r="BB29" s="8">
        <f t="shared" si="7"/>
      </c>
    </row>
    <row r="30" spans="1:54" ht="12.75">
      <c r="A30" s="236" t="s">
        <v>54</v>
      </c>
      <c r="B30" s="237"/>
      <c r="C30" s="238"/>
      <c r="D30" s="214">
        <f>IF(ISERROR(VLOOKUP($A30,'[1]liste reference'!$A$7:$D$904,2,0)),IF(ISERROR(VLOOKUP($A30,'[1]liste reference'!$B$7:$D$904,1,0)),"",VLOOKUP($A30,'[1]liste reference'!$B$7:$D$904,1,0)),VLOOKUP($A30,'[1]liste reference'!$A$7:$D$904,2,0))</f>
      </c>
      <c r="E30" s="231">
        <f>IF(D30="",,VLOOKUP(D30,D$22:D29,1,0))</f>
        <v>0</v>
      </c>
      <c r="F30" s="232">
        <f t="shared" si="0"/>
        <v>0</v>
      </c>
      <c r="G30" s="216">
        <f>IF(A30="","",IF(ISERROR(VLOOKUP($A30,'[1]liste reference'!$A$7:$P$904,13,0)),IF(ISERROR(VLOOKUP($A30,'[1]liste reference'!$B$7:$P$904,12,0)),"    -",VLOOKUP($A30,'[1]liste reference'!$B$7:$P$904,12,0)),VLOOKUP($A30,'[1]liste reference'!$A$7:$P$904,13,0)))</f>
      </c>
      <c r="H30" s="217" t="str">
        <f>IF(A30="","x",IF(ISERROR(VLOOKUP($A30,'[1]liste reference'!$A$8:$P$904,14,0)),IF(ISERROR(VLOOKUP($A30,'[1]liste reference'!$B$8:$P$904,13,0)),"x",VLOOKUP($A30,'[1]liste reference'!$B$8:$P$904,13,0)),VLOOKUP($A30,'[1]liste reference'!$A$8:$P$904,14,0)))</f>
        <v>x</v>
      </c>
      <c r="I30" s="218">
        <f>IF(ISNUMBER(H30),IF(ISERROR(VLOOKUP($A30,'[1]liste reference'!$A$7:$P$904,3,0)),IF(ISERROR(VLOOKUP($A30,'[1]liste reference'!$B$7:$P$904,2,0)),"",VLOOKUP($A30,'[1]liste reference'!$B$7:$P$904,2,0)),VLOOKUP($A30,'[1]liste reference'!$A$7:$P$904,3,0)),"")</f>
      </c>
      <c r="J30" s="218">
        <f>IF(ISNUMBER(H30),IF(ISERROR(VLOOKUP($A30,'[1]liste reference'!$A$7:$P$904,4,0)),IF(ISERROR(VLOOKUP($A30,'[1]liste reference'!$B$7:$P$904,3,0)),"",VLOOKUP($A30,'[1]liste reference'!$B$7:$P$904,3,0)),VLOOKUP($A30,'[1]liste reference'!$A$7:$P$904,4,0)),"")</f>
      </c>
      <c r="K30" s="219">
        <f>IF(A30="NEWCOD",IF(AB30="","Remplir le champs 'Nouveau taxa' svp.",$AB30),IF(ISTEXT($E30),"DEJA SAISI !",IF(A30="","",IF(ISERROR(VLOOKUP($A30,'[1]liste reference'!$A$7:$D$904,2,0)),IF(ISERROR(VLOOKUP($A30,'[1]liste reference'!$B$7:$D$904,1,0)),"code non répertorié ou synonyme",VLOOKUP($A30,'[1]liste reference'!$B$7:$D$904,1,0)),VLOOKUP(A30,'[1]liste reference'!$A$7:$D$904,2,0)))))</f>
      </c>
      <c r="L30" s="233"/>
      <c r="M30" s="233"/>
      <c r="N30" s="233"/>
      <c r="O30" s="221"/>
      <c r="P30" s="221">
        <f>IF($A30="NEWCOD",IF($AC30="","No",$AC30),IF(ISTEXT($E30),"DEJA SAISI !",IF($A30="","",IF(ISERROR(VLOOKUP($A30,'[1]liste reference'!A:S,19,FALSE)),IF(ISERROR(VLOOKUP($A30,'[1]liste reference'!B:S,19,FALSE)),"",VLOOKUP($A30,'[1]liste reference'!B:S,19,FALSE)),VLOOKUP($A30,'[1]liste reference'!A:S,19,FALSE)))))</f>
      </c>
      <c r="Q30" s="222">
        <f t="shared" si="1"/>
      </c>
      <c r="R30" s="223">
        <f t="shared" si="2"/>
      </c>
      <c r="S30" s="223">
        <f t="shared" si="3"/>
        <v>0</v>
      </c>
      <c r="T30" s="223">
        <f t="shared" si="4"/>
        <v>0</v>
      </c>
      <c r="U30" s="234">
        <f t="shared" si="5"/>
        <v>0</v>
      </c>
      <c r="V30" s="224">
        <f t="shared" si="6"/>
      </c>
      <c r="W30" s="225" t="s">
        <v>54</v>
      </c>
      <c r="Y30" s="226">
        <f>IF(A30="new.cod","NEWCOD",IF(AND((Z30=""),ISTEXT(A30)),A30,IF(Z30="","",INDEX('[1]liste reference'!$A$8:$A$904,Z30))))</f>
      </c>
      <c r="Z30" s="8">
        <f>IF(ISERROR(MATCH(A30,'[1]liste reference'!$A$8:$A$904,0)),IF(ISERROR(MATCH(A30,'[1]liste reference'!$B$8:$B$904,0)),"",(MATCH(A30,'[1]liste reference'!$B$8:$B$904,0))),(MATCH(A30,'[1]liste reference'!$A$8:$A$904,0)))</f>
      </c>
      <c r="AA30" s="227"/>
      <c r="AB30" s="228"/>
      <c r="AC30" s="228"/>
      <c r="BB30" s="8">
        <f t="shared" si="7"/>
      </c>
    </row>
    <row r="31" spans="1:54" ht="12.75">
      <c r="A31" s="236" t="s">
        <v>54</v>
      </c>
      <c r="B31" s="237"/>
      <c r="C31" s="238"/>
      <c r="D31" s="214">
        <f>IF(ISERROR(VLOOKUP($A31,'[1]liste reference'!$A$7:$D$904,2,0)),IF(ISERROR(VLOOKUP($A31,'[1]liste reference'!$B$7:$D$904,1,0)),"",VLOOKUP($A31,'[1]liste reference'!$B$7:$D$904,1,0)),VLOOKUP($A31,'[1]liste reference'!$A$7:$D$904,2,0))</f>
      </c>
      <c r="E31" s="231">
        <f>IF(D31="",,VLOOKUP(D31,D$22:D30,1,0))</f>
        <v>0</v>
      </c>
      <c r="F31" s="232">
        <f t="shared" si="0"/>
        <v>0</v>
      </c>
      <c r="G31" s="216">
        <f>IF(A31="","",IF(ISERROR(VLOOKUP($A31,'[1]liste reference'!$A$7:$P$904,13,0)),IF(ISERROR(VLOOKUP($A31,'[1]liste reference'!$B$7:$P$904,12,0)),"    -",VLOOKUP($A31,'[1]liste reference'!$B$7:$P$904,12,0)),VLOOKUP($A31,'[1]liste reference'!$A$7:$P$904,13,0)))</f>
      </c>
      <c r="H31" s="217" t="str">
        <f>IF(A31="","x",IF(ISERROR(VLOOKUP($A31,'[1]liste reference'!$A$8:$P$904,14,0)),IF(ISERROR(VLOOKUP($A31,'[1]liste reference'!$B$8:$P$904,13,0)),"x",VLOOKUP($A31,'[1]liste reference'!$B$8:$P$904,13,0)),VLOOKUP($A31,'[1]liste reference'!$A$8:$P$904,14,0)))</f>
        <v>x</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f>IF(A31="NEWCOD",IF(AB31="","Remplir le champs 'Nouveau taxa' svp.",$AB31),IF(ISTEXT($E31),"DEJA SAISI !",IF(A31="","",IF(ISERROR(VLOOKUP($A31,'[1]liste reference'!$A$7:$D$904,2,0)),IF(ISERROR(VLOOKUP($A31,'[1]liste reference'!$B$7:$D$904,1,0)),"code non répertorié ou synonyme",VLOOKUP($A31,'[1]liste reference'!$B$7:$D$904,1,0)),VLOOKUP(A31,'[1]liste reference'!$A$7:$D$904,2,0)))))</f>
      </c>
      <c r="L31" s="233"/>
      <c r="M31" s="233"/>
      <c r="N31" s="233"/>
      <c r="O31" s="221"/>
      <c r="P31" s="221">
        <f>IF($A31="NEWCOD",IF($AC31="","No",$AC31),IF(ISTEXT($E31),"DEJA SAISI !",IF($A31="","",IF(ISERROR(VLOOKUP($A31,'[1]liste reference'!A:S,19,FALSE)),IF(ISERROR(VLOOKUP($A31,'[1]liste reference'!B:S,19,FALSE)),"",VLOOKUP($A31,'[1]liste reference'!B:S,19,FALSE)),VLOOKUP($A31,'[1]liste reference'!A:S,19,FALSE)))))</f>
      </c>
      <c r="Q31" s="222">
        <f t="shared" si="1"/>
      </c>
      <c r="R31" s="223">
        <f t="shared" si="2"/>
      </c>
      <c r="S31" s="223">
        <f t="shared" si="3"/>
        <v>0</v>
      </c>
      <c r="T31" s="223">
        <f t="shared" si="4"/>
        <v>0</v>
      </c>
      <c r="U31" s="234">
        <f t="shared" si="5"/>
        <v>0</v>
      </c>
      <c r="V31" s="224">
        <f t="shared" si="6"/>
      </c>
      <c r="W31" s="225" t="s">
        <v>54</v>
      </c>
      <c r="Y31" s="226">
        <f>IF(A31="new.cod","NEWCOD",IF(AND((Z31=""),ISTEXT(A31)),A31,IF(Z31="","",INDEX('[1]liste reference'!$A$8:$A$904,Z31))))</f>
      </c>
      <c r="Z31" s="8">
        <f>IF(ISERROR(MATCH(A31,'[1]liste reference'!$A$8:$A$904,0)),IF(ISERROR(MATCH(A31,'[1]liste reference'!$B$8:$B$904,0)),"",(MATCH(A31,'[1]liste reference'!$B$8:$B$904,0))),(MATCH(A31,'[1]liste reference'!$A$8:$A$904,0)))</f>
      </c>
      <c r="AA31" s="227"/>
      <c r="AB31" s="228"/>
      <c r="AC31" s="228"/>
      <c r="BB31" s="8">
        <f t="shared" si="7"/>
      </c>
    </row>
    <row r="32" spans="1:54" ht="12.75">
      <c r="A32" s="236" t="s">
        <v>54</v>
      </c>
      <c r="B32" s="237"/>
      <c r="C32" s="238"/>
      <c r="D32" s="214">
        <f>IF(ISERROR(VLOOKUP($A32,'[1]liste reference'!$A$7:$D$904,2,0)),IF(ISERROR(VLOOKUP($A32,'[1]liste reference'!$B$7:$D$904,1,0)),"",VLOOKUP($A32,'[1]liste reference'!$B$7:$D$904,1,0)),VLOOKUP($A32,'[1]liste reference'!$A$7:$D$904,2,0))</f>
      </c>
      <c r="E32" s="231">
        <f>IF(D32="",,VLOOKUP(D32,D$22:D31,1,0))</f>
        <v>0</v>
      </c>
      <c r="F32" s="232">
        <f t="shared" si="0"/>
        <v>0</v>
      </c>
      <c r="G32" s="216">
        <f>IF(A32="","",IF(ISERROR(VLOOKUP($A32,'[1]liste reference'!$A$7:$P$904,13,0)),IF(ISERROR(VLOOKUP($A32,'[1]liste reference'!$B$7:$P$904,12,0)),"    -",VLOOKUP($A32,'[1]liste reference'!$B$7:$P$904,12,0)),VLOOKUP($A32,'[1]liste reference'!$A$7:$P$904,13,0)))</f>
      </c>
      <c r="H32" s="217" t="str">
        <f>IF(A32="","x",IF(ISERROR(VLOOKUP($A32,'[1]liste reference'!$A$8:$P$904,14,0)),IF(ISERROR(VLOOKUP($A32,'[1]liste reference'!$B$8:$P$904,13,0)),"x",VLOOKUP($A32,'[1]liste reference'!$B$8:$P$904,13,0)),VLOOKUP($A32,'[1]liste reference'!$A$8:$P$904,14,0)))</f>
        <v>x</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33"/>
      <c r="M32" s="233"/>
      <c r="N32" s="233"/>
      <c r="O32" s="221"/>
      <c r="P32" s="221">
        <f>IF($A32="NEWCOD",IF($AC32="","No",$AC32),IF(ISTEXT($E32),"DEJA SAISI !",IF($A32="","",IF(ISERROR(VLOOKUP($A32,'[1]liste reference'!A:S,19,FALSE)),IF(ISERROR(VLOOKUP($A32,'[1]liste reference'!B:S,19,FALSE)),"",VLOOKUP($A32,'[1]liste reference'!B:S,19,FALSE)),VLOOKUP($A32,'[1]liste reference'!A:S,19,FALSE)))))</f>
      </c>
      <c r="Q32" s="222">
        <f t="shared" si="1"/>
      </c>
      <c r="R32" s="223">
        <f t="shared" si="2"/>
      </c>
      <c r="S32" s="223">
        <f t="shared" si="3"/>
        <v>0</v>
      </c>
      <c r="T32" s="223">
        <f t="shared" si="4"/>
        <v>0</v>
      </c>
      <c r="U32" s="234">
        <f t="shared" si="5"/>
        <v>0</v>
      </c>
      <c r="V32" s="224">
        <f t="shared" si="6"/>
      </c>
      <c r="W32" s="225" t="s">
        <v>54</v>
      </c>
      <c r="Y32" s="226">
        <f>IF(A32="new.cod","NEWCOD",IF(AND((Z32=""),ISTEXT(A32)),A32,IF(Z32="","",INDEX('[1]liste reference'!$A$8:$A$904,Z32))))</f>
      </c>
      <c r="Z32" s="8">
        <f>IF(ISERROR(MATCH(A32,'[1]liste reference'!$A$8:$A$904,0)),IF(ISERROR(MATCH(A32,'[1]liste reference'!$B$8:$B$904,0)),"",(MATCH(A32,'[1]liste reference'!$B$8:$B$904,0))),(MATCH(A32,'[1]liste reference'!$A$8:$A$904,0)))</f>
      </c>
      <c r="AA32" s="227"/>
      <c r="AB32" s="228"/>
      <c r="AC32" s="228"/>
      <c r="BB32" s="8">
        <f t="shared" si="7"/>
      </c>
    </row>
    <row r="33" spans="1:54" ht="12.75">
      <c r="A33" s="236" t="s">
        <v>54</v>
      </c>
      <c r="B33" s="237"/>
      <c r="C33" s="238"/>
      <c r="D33" s="214">
        <f>IF(ISERROR(VLOOKUP($A33,'[1]liste reference'!$A$7:$D$904,2,0)),IF(ISERROR(VLOOKUP($A33,'[1]liste reference'!$B$7:$D$904,1,0)),"",VLOOKUP($A33,'[1]liste reference'!$B$7:$D$904,1,0)),VLOOKUP($A33,'[1]liste reference'!$A$7:$D$904,2,0))</f>
      </c>
      <c r="E33" s="231">
        <f>IF(D33="",,VLOOKUP(D33,D$22:D32,1,0))</f>
        <v>0</v>
      </c>
      <c r="F33" s="232">
        <f t="shared" si="0"/>
        <v>0</v>
      </c>
      <c r="G33" s="216">
        <f>IF(A33="","",IF(ISERROR(VLOOKUP($A33,'[1]liste reference'!$A$7:$P$904,13,0)),IF(ISERROR(VLOOKUP($A33,'[1]liste reference'!$B$7:$P$904,12,0)),"    -",VLOOKUP($A33,'[1]liste reference'!$B$7:$P$904,12,0)),VLOOKUP($A33,'[1]liste reference'!$A$7:$P$904,13,0)))</f>
      </c>
      <c r="H33" s="217" t="str">
        <f>IF(A33="","x",IF(ISERROR(VLOOKUP($A33,'[1]liste reference'!$A$8:$P$904,14,0)),IF(ISERROR(VLOOKUP($A33,'[1]liste reference'!$B$8:$P$904,13,0)),"x",VLOOKUP($A33,'[1]liste reference'!$B$8:$P$904,13,0)),VLOOKUP($A33,'[1]liste reference'!$A$8:$P$904,14,0)))</f>
        <v>x</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33"/>
      <c r="M33" s="233"/>
      <c r="N33" s="233"/>
      <c r="O33" s="221"/>
      <c r="P33" s="221">
        <f>IF($A33="NEWCOD",IF($AC33="","No",$AC33),IF(ISTEXT($E33),"DEJA SAISI !",IF($A33="","",IF(ISERROR(VLOOKUP($A33,'[1]liste reference'!A:S,19,FALSE)),IF(ISERROR(VLOOKUP($A33,'[1]liste reference'!B:S,19,FALSE)),"",VLOOKUP($A33,'[1]liste reference'!B:S,19,FALSE)),VLOOKUP($A33,'[1]liste reference'!A:S,19,FALSE)))))</f>
      </c>
      <c r="Q33" s="222">
        <f t="shared" si="1"/>
      </c>
      <c r="R33" s="223">
        <f t="shared" si="2"/>
      </c>
      <c r="S33" s="223">
        <f t="shared" si="3"/>
        <v>0</v>
      </c>
      <c r="T33" s="223">
        <f t="shared" si="4"/>
        <v>0</v>
      </c>
      <c r="U33" s="234">
        <f t="shared" si="5"/>
        <v>0</v>
      </c>
      <c r="V33" s="224">
        <f t="shared" si="6"/>
      </c>
      <c r="W33" s="225" t="s">
        <v>54</v>
      </c>
      <c r="Y33" s="226">
        <f>IF(A33="new.cod","NEWCOD",IF(AND((Z33=""),ISTEXT(A33)),A33,IF(Z33="","",INDEX('[1]liste reference'!$A$8:$A$904,Z33))))</f>
      </c>
      <c r="Z33" s="8">
        <f>IF(ISERROR(MATCH(A33,'[1]liste reference'!$A$8:$A$904,0)),IF(ISERROR(MATCH(A33,'[1]liste reference'!$B$8:$B$904,0)),"",(MATCH(A33,'[1]liste reference'!$B$8:$B$904,0))),(MATCH(A33,'[1]liste reference'!$A$8:$A$904,0)))</f>
      </c>
      <c r="AA33" s="227"/>
      <c r="AB33" s="228"/>
      <c r="AC33" s="228"/>
      <c r="BB33" s="8">
        <f t="shared" si="7"/>
      </c>
    </row>
    <row r="34" spans="1:54" ht="12.75">
      <c r="A34" s="236" t="s">
        <v>54</v>
      </c>
      <c r="B34" s="237"/>
      <c r="C34" s="238"/>
      <c r="D34" s="214">
        <f>IF(ISERROR(VLOOKUP($A34,'[1]liste reference'!$A$7:$D$904,2,0)),IF(ISERROR(VLOOKUP($A34,'[1]liste reference'!$B$7:$D$904,1,0)),"",VLOOKUP($A34,'[1]liste reference'!$B$7:$D$904,1,0)),VLOOKUP($A34,'[1]liste reference'!$A$7:$D$904,2,0))</f>
      </c>
      <c r="E34" s="231">
        <f>IF(D34="",,VLOOKUP(D34,D$22:D33,1,0))</f>
        <v>0</v>
      </c>
      <c r="F34" s="239">
        <f t="shared" si="0"/>
        <v>0</v>
      </c>
      <c r="G34" s="216">
        <f>IF(A34="","",IF(ISERROR(VLOOKUP($A34,'[1]liste reference'!$A$7:$P$904,13,0)),IF(ISERROR(VLOOKUP($A34,'[1]liste reference'!$B$7:$P$904,12,0)),"    -",VLOOKUP($A34,'[1]liste reference'!$B$7:$P$904,12,0)),VLOOKUP($A34,'[1]liste reference'!$A$7:$P$904,13,0)))</f>
      </c>
      <c r="H34" s="217" t="str">
        <f>IF(A34="","x",IF(ISERROR(VLOOKUP($A34,'[1]liste reference'!$A$8:$P$904,14,0)),IF(ISERROR(VLOOKUP($A34,'[1]liste reference'!$B$8:$P$904,13,0)),"x",VLOOKUP($A34,'[1]liste reference'!$B$8:$P$904,13,0)),VLOOKUP($A34,'[1]liste reference'!$A$8:$P$904,14,0)))</f>
        <v>x</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33"/>
      <c r="M34" s="233"/>
      <c r="N34" s="233"/>
      <c r="O34" s="221"/>
      <c r="P34" s="221">
        <f>IF($A34="NEWCOD",IF($AC34="","No",$AC34),IF(ISTEXT($E34),"DEJA SAISI !",IF($A34="","",IF(ISERROR(VLOOKUP($A34,'[1]liste reference'!A:S,19,FALSE)),IF(ISERROR(VLOOKUP($A34,'[1]liste reference'!B:S,19,FALSE)),"",VLOOKUP($A34,'[1]liste reference'!B:S,19,FALSE)),VLOOKUP($A34,'[1]liste reference'!A:S,19,FALSE)))))</f>
      </c>
      <c r="Q34" s="222">
        <f t="shared" si="1"/>
      </c>
      <c r="R34" s="223">
        <f t="shared" si="2"/>
      </c>
      <c r="S34" s="223">
        <f t="shared" si="3"/>
        <v>0</v>
      </c>
      <c r="T34" s="223">
        <f t="shared" si="4"/>
        <v>0</v>
      </c>
      <c r="U34" s="234">
        <f t="shared" si="5"/>
        <v>0</v>
      </c>
      <c r="V34" s="224">
        <f t="shared" si="6"/>
      </c>
      <c r="W34" s="225" t="s">
        <v>54</v>
      </c>
      <c r="Y34" s="226">
        <f>IF(A34="new.cod","NEWCOD",IF(AND((Z34=""),ISTEXT(A34)),A34,IF(Z34="","",INDEX('[1]liste reference'!$A$8:$A$904,Z34))))</f>
      </c>
      <c r="Z34" s="8">
        <f>IF(ISERROR(MATCH(A34,'[1]liste reference'!$A$8:$A$904,0)),IF(ISERROR(MATCH(A34,'[1]liste reference'!$B$8:$B$904,0)),"",(MATCH(A34,'[1]liste reference'!$B$8:$B$904,0))),(MATCH(A34,'[1]liste reference'!$A$8:$A$904,0)))</f>
      </c>
      <c r="AA34" s="227"/>
      <c r="AB34" s="228"/>
      <c r="AC34" s="228"/>
      <c r="BB34" s="8">
        <f t="shared" si="7"/>
      </c>
    </row>
    <row r="35" spans="1:54" ht="12.75">
      <c r="A35" s="236" t="s">
        <v>54</v>
      </c>
      <c r="B35" s="237"/>
      <c r="C35" s="238"/>
      <c r="D35" s="214">
        <f>IF(ISERROR(VLOOKUP($A35,'[1]liste reference'!$A$7:$D$904,2,0)),IF(ISERROR(VLOOKUP($A35,'[1]liste reference'!$B$7:$D$904,1,0)),"",VLOOKUP($A35,'[1]liste reference'!$B$7:$D$904,1,0)),VLOOKUP($A35,'[1]liste reference'!$A$7:$D$904,2,0))</f>
      </c>
      <c r="E35" s="231">
        <f>IF(D35="",,VLOOKUP(D35,D$22:D34,1,0))</f>
        <v>0</v>
      </c>
      <c r="F35" s="239">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3"/>
      <c r="M35" s="233"/>
      <c r="N35" s="233"/>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4">
        <f t="shared" si="5"/>
        <v>0</v>
      </c>
      <c r="V35" s="224">
        <f t="shared" si="6"/>
      </c>
      <c r="W35" s="225" t="s">
        <v>54</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6" t="s">
        <v>54</v>
      </c>
      <c r="B36" s="237"/>
      <c r="C36" s="238"/>
      <c r="D36" s="214">
        <f>IF(ISERROR(VLOOKUP($A36,'[1]liste reference'!$A$7:$D$904,2,0)),IF(ISERROR(VLOOKUP($A36,'[1]liste reference'!$B$7:$D$904,1,0)),"",VLOOKUP($A36,'[1]liste reference'!$B$7:$D$904,1,0)),VLOOKUP($A36,'[1]liste reference'!$A$7:$D$904,2,0))</f>
      </c>
      <c r="E36" s="231">
        <f>IF(D36="",,VLOOKUP(D36,D$22:D35,1,0))</f>
        <v>0</v>
      </c>
      <c r="F36" s="239">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3"/>
      <c r="M36" s="233"/>
      <c r="N36" s="233"/>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4">
        <f t="shared" si="5"/>
        <v>0</v>
      </c>
      <c r="V36" s="224">
        <f t="shared" si="6"/>
      </c>
      <c r="W36" s="225" t="s">
        <v>54</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6" t="s">
        <v>54</v>
      </c>
      <c r="B37" s="237"/>
      <c r="C37" s="238"/>
      <c r="D37" s="214">
        <f>IF(ISERROR(VLOOKUP($A37,'[1]liste reference'!$A$7:$D$904,2,0)),IF(ISERROR(VLOOKUP($A37,'[1]liste reference'!$B$7:$D$904,1,0)),"",VLOOKUP($A37,'[1]liste reference'!$B$7:$D$904,1,0)),VLOOKUP($A37,'[1]liste reference'!$A$7:$D$904,2,0))</f>
      </c>
      <c r="E37" s="231">
        <f>IF(D37="",,VLOOKUP(D37,D$22:D36,1,0))</f>
        <v>0</v>
      </c>
      <c r="F37" s="239">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3"/>
      <c r="M37" s="233"/>
      <c r="N37" s="233"/>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4">
        <f t="shared" si="5"/>
        <v>0</v>
      </c>
      <c r="V37" s="224">
        <f t="shared" si="6"/>
      </c>
      <c r="W37" s="225" t="s">
        <v>54</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6" t="s">
        <v>54</v>
      </c>
      <c r="B38" s="237"/>
      <c r="C38" s="238"/>
      <c r="D38" s="214">
        <f>IF(ISERROR(VLOOKUP($A38,'[1]liste reference'!$A$7:$D$904,2,0)),IF(ISERROR(VLOOKUP($A38,'[1]liste reference'!$B$7:$D$904,1,0)),"",VLOOKUP($A38,'[1]liste reference'!$B$7:$D$904,1,0)),VLOOKUP($A38,'[1]liste reference'!$A$7:$D$904,2,0))</f>
      </c>
      <c r="E38" s="231">
        <f>IF(D38="",,VLOOKUP(D38,D$22:D37,1,0))</f>
        <v>0</v>
      </c>
      <c r="F38" s="239">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3"/>
      <c r="M38" s="233"/>
      <c r="N38" s="233"/>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4">
        <f t="shared" si="5"/>
        <v>0</v>
      </c>
      <c r="V38" s="224">
        <f t="shared" si="6"/>
      </c>
      <c r="W38" s="225" t="s">
        <v>54</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6" t="s">
        <v>54</v>
      </c>
      <c r="B39" s="237"/>
      <c r="C39" s="238"/>
      <c r="D39" s="214">
        <f>IF(ISERROR(VLOOKUP($A39,'[1]liste reference'!$A$7:$D$904,2,0)),IF(ISERROR(VLOOKUP($A39,'[1]liste reference'!$B$7:$D$904,1,0)),"",VLOOKUP($A39,'[1]liste reference'!$B$7:$D$904,1,0)),VLOOKUP($A39,'[1]liste reference'!$A$7:$D$904,2,0))</f>
      </c>
      <c r="E39" s="231">
        <f>IF(D39="",,VLOOKUP(D39,D$22:D38,1,0))</f>
        <v>0</v>
      </c>
      <c r="F39" s="239">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3"/>
      <c r="M39" s="233"/>
      <c r="N39" s="233"/>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4">
        <f t="shared" si="5"/>
        <v>0</v>
      </c>
      <c r="V39" s="224">
        <f t="shared" si="6"/>
      </c>
      <c r="W39" s="225" t="s">
        <v>54</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6" t="s">
        <v>54</v>
      </c>
      <c r="B40" s="237"/>
      <c r="C40" s="238"/>
      <c r="D40" s="214">
        <f>IF(ISERROR(VLOOKUP($A40,'[1]liste reference'!$A$7:$D$904,2,0)),IF(ISERROR(VLOOKUP($A40,'[1]liste reference'!$B$7:$D$904,1,0)),"",VLOOKUP($A40,'[1]liste reference'!$B$7:$D$904,1,0)),VLOOKUP($A40,'[1]liste reference'!$A$7:$D$904,2,0))</f>
      </c>
      <c r="E40" s="231">
        <f>IF(D40="",,VLOOKUP(D40,D$22:D39,1,0))</f>
        <v>0</v>
      </c>
      <c r="F40" s="239">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3"/>
      <c r="M40" s="233"/>
      <c r="N40" s="233"/>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4">
        <f t="shared" si="5"/>
        <v>0</v>
      </c>
      <c r="V40" s="224">
        <f t="shared" si="6"/>
      </c>
      <c r="W40" s="225" t="s">
        <v>54</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6" t="s">
        <v>54</v>
      </c>
      <c r="B41" s="237"/>
      <c r="C41" s="238"/>
      <c r="D41" s="214">
        <f>IF(ISERROR(VLOOKUP($A41,'[1]liste reference'!$A$7:$D$904,2,0)),IF(ISERROR(VLOOKUP($A41,'[1]liste reference'!$B$7:$D$904,1,0)),"",VLOOKUP($A41,'[1]liste reference'!$B$7:$D$904,1,0)),VLOOKUP($A41,'[1]liste reference'!$A$7:$D$904,2,0))</f>
      </c>
      <c r="E41" s="231">
        <f>IF(D41="",,VLOOKUP(D41,D$22:D40,1,0))</f>
        <v>0</v>
      </c>
      <c r="F41" s="239">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3"/>
      <c r="M41" s="233"/>
      <c r="N41" s="233"/>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4">
        <f t="shared" si="5"/>
        <v>0</v>
      </c>
      <c r="V41" s="224">
        <f t="shared" si="6"/>
      </c>
      <c r="W41" s="225" t="s">
        <v>54</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6" t="s">
        <v>54</v>
      </c>
      <c r="B42" s="237"/>
      <c r="C42" s="238"/>
      <c r="D42" s="214">
        <f>IF(ISERROR(VLOOKUP($A42,'[1]liste reference'!$A$7:$D$904,2,0)),IF(ISERROR(VLOOKUP($A42,'[1]liste reference'!$B$7:$D$904,1,0)),"",VLOOKUP($A42,'[1]liste reference'!$B$7:$D$904,1,0)),VLOOKUP($A42,'[1]liste reference'!$A$7:$D$904,2,0))</f>
      </c>
      <c r="E42" s="231">
        <f>IF(D42="",,VLOOKUP(D42,D$22:D41,1,0))</f>
        <v>0</v>
      </c>
      <c r="F42" s="239">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3"/>
      <c r="M42" s="233"/>
      <c r="N42" s="233"/>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4">
        <f t="shared" si="5"/>
        <v>0</v>
      </c>
      <c r="V42" s="224">
        <f t="shared" si="6"/>
      </c>
      <c r="W42" s="225" t="s">
        <v>54</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6" t="s">
        <v>54</v>
      </c>
      <c r="B43" s="237"/>
      <c r="C43" s="238"/>
      <c r="D43" s="214">
        <f>IF(ISERROR(VLOOKUP($A43,'[1]liste reference'!$A$7:$D$904,2,0)),IF(ISERROR(VLOOKUP($A43,'[1]liste reference'!$B$7:$D$904,1,0)),"",VLOOKUP($A43,'[1]liste reference'!$B$7:$D$904,1,0)),VLOOKUP($A43,'[1]liste reference'!$A$7:$D$904,2,0))</f>
      </c>
      <c r="E43" s="231">
        <f>IF(D43="",,VLOOKUP(D43,D$22:D42,1,0))</f>
        <v>0</v>
      </c>
      <c r="F43" s="239">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3"/>
      <c r="M43" s="233"/>
      <c r="N43" s="233"/>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4">
        <f t="shared" si="5"/>
        <v>0</v>
      </c>
      <c r="V43" s="224">
        <f t="shared" si="6"/>
      </c>
      <c r="W43" s="225" t="s">
        <v>54</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6" t="s">
        <v>54</v>
      </c>
      <c r="B44" s="237"/>
      <c r="C44" s="238"/>
      <c r="D44" s="214">
        <f>IF(ISERROR(VLOOKUP($A44,'[1]liste reference'!$A$7:$D$904,2,0)),IF(ISERROR(VLOOKUP($A44,'[1]liste reference'!$B$7:$D$904,1,0)),"",VLOOKUP($A44,'[1]liste reference'!$B$7:$D$904,1,0)),VLOOKUP($A44,'[1]liste reference'!$A$7:$D$904,2,0))</f>
      </c>
      <c r="E44" s="231">
        <f>IF(D44="",,VLOOKUP(D44,D$22:D43,1,0))</f>
        <v>0</v>
      </c>
      <c r="F44" s="239">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3"/>
      <c r="M44" s="233"/>
      <c r="N44" s="233"/>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4">
        <f t="shared" si="5"/>
        <v>0</v>
      </c>
      <c r="V44" s="224">
        <f t="shared" si="6"/>
      </c>
      <c r="W44" s="225" t="s">
        <v>54</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6" t="s">
        <v>54</v>
      </c>
      <c r="B45" s="237"/>
      <c r="C45" s="238"/>
      <c r="D45" s="214">
        <f>IF(ISERROR(VLOOKUP($A45,'[1]liste reference'!$A$7:$D$904,2,0)),IF(ISERROR(VLOOKUP($A45,'[1]liste reference'!$B$7:$D$904,1,0)),"",VLOOKUP($A45,'[1]liste reference'!$B$7:$D$904,1,0)),VLOOKUP($A45,'[1]liste reference'!$A$7:$D$904,2,0))</f>
      </c>
      <c r="E45" s="231">
        <f>IF(D45="",,VLOOKUP(D45,D$22:D44,1,0))</f>
        <v>0</v>
      </c>
      <c r="F45" s="239">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3"/>
      <c r="M45" s="233"/>
      <c r="N45" s="233"/>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4">
        <f t="shared" si="5"/>
        <v>0</v>
      </c>
      <c r="V45" s="224">
        <f t="shared" si="6"/>
      </c>
      <c r="W45" s="225" t="s">
        <v>54</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6" t="s">
        <v>54</v>
      </c>
      <c r="B46" s="237"/>
      <c r="C46" s="238"/>
      <c r="D46" s="214">
        <f>IF(ISERROR(VLOOKUP($A46,'[1]liste reference'!$A$7:$D$904,2,0)),IF(ISERROR(VLOOKUP($A46,'[1]liste reference'!$B$7:$D$904,1,0)),"",VLOOKUP($A46,'[1]liste reference'!$B$7:$D$904,1,0)),VLOOKUP($A46,'[1]liste reference'!$A$7:$D$904,2,0))</f>
      </c>
      <c r="E46" s="231">
        <f>IF(D46="",,VLOOKUP(D46,D$22:D39,1,0))</f>
        <v>0</v>
      </c>
      <c r="F46" s="239">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3"/>
      <c r="M46" s="233"/>
      <c r="N46" s="233"/>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4">
        <f t="shared" si="5"/>
        <v>0</v>
      </c>
      <c r="V46" s="224">
        <f t="shared" si="6"/>
      </c>
      <c r="W46" s="225" t="s">
        <v>54</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6" t="s">
        <v>54</v>
      </c>
      <c r="B47" s="237"/>
      <c r="C47" s="238"/>
      <c r="D47" s="214">
        <f>IF(ISERROR(VLOOKUP($A47,'[1]liste reference'!$A$7:$D$904,2,0)),IF(ISERROR(VLOOKUP($A47,'[1]liste reference'!$B$7:$D$904,1,0)),"",VLOOKUP($A47,'[1]liste reference'!$B$7:$D$904,1,0)),VLOOKUP($A47,'[1]liste reference'!$A$7:$D$904,2,0))</f>
      </c>
      <c r="E47" s="231">
        <f>IF(D47="",,VLOOKUP(D47,D$22:D39,1,0))</f>
        <v>0</v>
      </c>
      <c r="F47" s="239">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3"/>
      <c r="M47" s="233"/>
      <c r="N47" s="233"/>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4">
        <f t="shared" si="5"/>
        <v>0</v>
      </c>
      <c r="V47" s="224">
        <f t="shared" si="6"/>
      </c>
      <c r="W47" s="225" t="s">
        <v>54</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6" t="s">
        <v>54</v>
      </c>
      <c r="B48" s="237"/>
      <c r="C48" s="238"/>
      <c r="D48" s="214">
        <f>IF(ISERROR(VLOOKUP($A48,'[1]liste reference'!$A$7:$D$904,2,0)),IF(ISERROR(VLOOKUP($A48,'[1]liste reference'!$B$7:$D$904,1,0)),"",VLOOKUP($A48,'[1]liste reference'!$B$7:$D$904,1,0)),VLOOKUP($A48,'[1]liste reference'!$A$7:$D$904,2,0))</f>
      </c>
      <c r="E48" s="231">
        <f>IF(D48="",,VLOOKUP(D48,D$22:D40,1,0))</f>
        <v>0</v>
      </c>
      <c r="F48" s="239">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3"/>
      <c r="M48" s="233"/>
      <c r="N48" s="233"/>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4">
        <f t="shared" si="5"/>
        <v>0</v>
      </c>
      <c r="V48" s="224">
        <f t="shared" si="6"/>
      </c>
      <c r="W48" s="225" t="s">
        <v>54</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6" t="s">
        <v>54</v>
      </c>
      <c r="B49" s="237"/>
      <c r="C49" s="238"/>
      <c r="D49" s="214">
        <f>IF(ISERROR(VLOOKUP($A49,'[1]liste reference'!$A$7:$D$904,2,0)),IF(ISERROR(VLOOKUP($A49,'[1]liste reference'!$B$7:$D$904,1,0)),"",VLOOKUP($A49,'[1]liste reference'!$B$7:$D$904,1,0)),VLOOKUP($A49,'[1]liste reference'!$A$7:$D$904,2,0))</f>
      </c>
      <c r="E49" s="231">
        <f>IF(D49="",,VLOOKUP(D49,D$22:D48,1,0))</f>
        <v>0</v>
      </c>
      <c r="F49" s="239">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3"/>
      <c r="M49" s="233"/>
      <c r="N49" s="233"/>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4">
        <f t="shared" si="5"/>
        <v>0</v>
      </c>
      <c r="V49" s="224">
        <f t="shared" si="6"/>
      </c>
      <c r="W49" s="225" t="s">
        <v>54</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6" t="s">
        <v>54</v>
      </c>
      <c r="B50" s="237"/>
      <c r="C50" s="238"/>
      <c r="D50" s="214">
        <f>IF(ISERROR(VLOOKUP($A50,'[1]liste reference'!$A$7:$D$904,2,0)),IF(ISERROR(VLOOKUP($A50,'[1]liste reference'!$B$7:$D$904,1,0)),"",VLOOKUP($A50,'[1]liste reference'!$B$7:$D$904,1,0)),VLOOKUP($A50,'[1]liste reference'!$A$7:$D$904,2,0))</f>
      </c>
      <c r="E50" s="231">
        <f>IF(D50="",,VLOOKUP(D50,D$22:D49,1,0))</f>
        <v>0</v>
      </c>
      <c r="F50" s="239">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3"/>
      <c r="M50" s="233"/>
      <c r="N50" s="233"/>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4">
        <f t="shared" si="5"/>
        <v>0</v>
      </c>
      <c r="V50" s="224">
        <f t="shared" si="6"/>
      </c>
      <c r="W50" s="225" t="s">
        <v>54</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6" t="s">
        <v>54</v>
      </c>
      <c r="B51" s="237"/>
      <c r="C51" s="238"/>
      <c r="D51" s="214">
        <f>IF(ISERROR(VLOOKUP($A51,'[1]liste reference'!$A$7:$D$904,2,0)),IF(ISERROR(VLOOKUP($A51,'[1]liste reference'!$B$7:$D$904,1,0)),"",VLOOKUP($A51,'[1]liste reference'!$B$7:$D$904,1,0)),VLOOKUP($A51,'[1]liste reference'!$A$7:$D$904,2,0))</f>
      </c>
      <c r="E51" s="231">
        <f>IF(D51="",,VLOOKUP(D51,D$22:D50,1,0))</f>
        <v>0</v>
      </c>
      <c r="F51" s="239">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3"/>
      <c r="M51" s="233"/>
      <c r="N51" s="233"/>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4">
        <f t="shared" si="5"/>
        <v>0</v>
      </c>
      <c r="V51" s="224">
        <f t="shared" si="6"/>
      </c>
      <c r="W51" s="225" t="s">
        <v>54</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6" t="s">
        <v>54</v>
      </c>
      <c r="B52" s="237"/>
      <c r="C52" s="238"/>
      <c r="D52" s="214">
        <f>IF(ISERROR(VLOOKUP($A52,'[1]liste reference'!$A$7:$D$904,2,0)),IF(ISERROR(VLOOKUP($A52,'[1]liste reference'!$B$7:$D$904,1,0)),"",VLOOKUP($A52,'[1]liste reference'!$B$7:$D$904,1,0)),VLOOKUP($A52,'[1]liste reference'!$A$7:$D$904,2,0))</f>
      </c>
      <c r="E52" s="231">
        <f>IF(D52="",,VLOOKUP(D52,D$22:D51,1,0))</f>
        <v>0</v>
      </c>
      <c r="F52" s="239">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3"/>
      <c r="M52" s="233"/>
      <c r="N52" s="233"/>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4">
        <f t="shared" si="5"/>
        <v>0</v>
      </c>
      <c r="V52" s="224">
        <f t="shared" si="6"/>
      </c>
      <c r="W52" s="225" t="s">
        <v>54</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6" t="s">
        <v>54</v>
      </c>
      <c r="B53" s="237"/>
      <c r="C53" s="238"/>
      <c r="D53" s="214">
        <f>IF(ISERROR(VLOOKUP($A53,'[1]liste reference'!$A$7:$D$904,2,0)),IF(ISERROR(VLOOKUP($A53,'[1]liste reference'!$B$7:$D$904,1,0)),"",VLOOKUP($A53,'[1]liste reference'!$B$7:$D$904,1,0)),VLOOKUP($A53,'[1]liste reference'!$A$7:$D$904,2,0))</f>
      </c>
      <c r="E53" s="231">
        <f>IF(D53="",,VLOOKUP(D53,D$22:D52,1,0))</f>
        <v>0</v>
      </c>
      <c r="F53" s="239">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3"/>
      <c r="M53" s="233"/>
      <c r="N53" s="233"/>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4">
        <f t="shared" si="5"/>
        <v>0</v>
      </c>
      <c r="V53" s="224">
        <f t="shared" si="6"/>
      </c>
      <c r="W53" s="225" t="s">
        <v>54</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6" t="s">
        <v>54</v>
      </c>
      <c r="B54" s="237"/>
      <c r="C54" s="238"/>
      <c r="D54" s="214">
        <f>IF(ISERROR(VLOOKUP($A54,'[1]liste reference'!$A$7:$D$904,2,0)),IF(ISERROR(VLOOKUP($A54,'[1]liste reference'!$B$7:$D$904,1,0)),"",VLOOKUP($A54,'[1]liste reference'!$B$7:$D$904,1,0)),VLOOKUP($A54,'[1]liste reference'!$A$7:$D$904,2,0))</f>
      </c>
      <c r="E54" s="231">
        <f>IF(D54="",,VLOOKUP(D54,D$22:D53,1,0))</f>
        <v>0</v>
      </c>
      <c r="F54" s="239">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3"/>
      <c r="M54" s="233"/>
      <c r="N54" s="233"/>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4">
        <f t="shared" si="5"/>
        <v>0</v>
      </c>
      <c r="V54" s="224">
        <f t="shared" si="6"/>
      </c>
      <c r="W54" s="225" t="s">
        <v>54</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6" t="s">
        <v>54</v>
      </c>
      <c r="B55" s="237"/>
      <c r="C55" s="238"/>
      <c r="D55" s="214">
        <f>IF(ISERROR(VLOOKUP($A55,'[1]liste reference'!$A$7:$D$904,2,0)),IF(ISERROR(VLOOKUP($A55,'[1]liste reference'!$B$7:$D$904,1,0)),"",VLOOKUP($A55,'[1]liste reference'!$B$7:$D$904,1,0)),VLOOKUP($A55,'[1]liste reference'!$A$7:$D$904,2,0))</f>
      </c>
      <c r="E55" s="231">
        <f>IF(D55="",,VLOOKUP(D55,D$22:D54,1,0))</f>
        <v>0</v>
      </c>
      <c r="F55" s="239">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3"/>
      <c r="M55" s="233"/>
      <c r="N55" s="233"/>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4">
        <f aca="true" t="shared" si="13" ref="U55:U82">IF(ISERROR(R55*J55),0,R55*J55)</f>
        <v>0</v>
      </c>
      <c r="V55" s="224">
        <f aca="true" t="shared" si="14" ref="V55:V82">IF(AND(A55="",F55=0),"",IF(F55=0,"Il manque le(s) % de rec. !",""))</f>
      </c>
      <c r="W55" s="225" t="s">
        <v>54</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6" t="s">
        <v>54</v>
      </c>
      <c r="B56" s="237"/>
      <c r="C56" s="238"/>
      <c r="D56" s="214">
        <f>IF(ISERROR(VLOOKUP($A56,'[1]liste reference'!$A$7:$D$904,2,0)),IF(ISERROR(VLOOKUP($A56,'[1]liste reference'!$B$7:$D$904,1,0)),"",VLOOKUP($A56,'[1]liste reference'!$B$7:$D$904,1,0)),VLOOKUP($A56,'[1]liste reference'!$A$7:$D$904,2,0))</f>
      </c>
      <c r="E56" s="231">
        <f>IF(D56="",,VLOOKUP(D56,D$22:D55,1,0))</f>
        <v>0</v>
      </c>
      <c r="F56" s="239">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3"/>
      <c r="M56" s="233"/>
      <c r="N56" s="233"/>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4">
        <f t="shared" si="13"/>
        <v>0</v>
      </c>
      <c r="V56" s="224">
        <f t="shared" si="14"/>
      </c>
      <c r="W56" s="225" t="s">
        <v>54</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6" t="s">
        <v>54</v>
      </c>
      <c r="B57" s="237"/>
      <c r="C57" s="238"/>
      <c r="D57" s="214">
        <f>IF(ISERROR(VLOOKUP($A57,'[1]liste reference'!$A$7:$D$904,2,0)),IF(ISERROR(VLOOKUP($A57,'[1]liste reference'!$B$7:$D$904,1,0)),"",VLOOKUP($A57,'[1]liste reference'!$B$7:$D$904,1,0)),VLOOKUP($A57,'[1]liste reference'!$A$7:$D$904,2,0))</f>
      </c>
      <c r="E57" s="231">
        <f>IF(D57="",,VLOOKUP(D57,D$21:D56,1,0))</f>
        <v>0</v>
      </c>
      <c r="F57" s="239">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3"/>
      <c r="M57" s="233"/>
      <c r="N57" s="233"/>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4">
        <f t="shared" si="13"/>
        <v>0</v>
      </c>
      <c r="V57" s="224">
        <f t="shared" si="14"/>
      </c>
      <c r="W57" s="225" t="s">
        <v>54</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6" t="s">
        <v>54</v>
      </c>
      <c r="B58" s="237"/>
      <c r="C58" s="238"/>
      <c r="D58" s="214">
        <f>IF(ISERROR(VLOOKUP($A58,'[1]liste reference'!$A$7:$D$904,2,0)),IF(ISERROR(VLOOKUP($A58,'[1]liste reference'!$B$7:$D$904,1,0)),"",VLOOKUP($A58,'[1]liste reference'!$B$7:$D$904,1,0)),VLOOKUP($A58,'[1]liste reference'!$A$7:$D$904,2,0))</f>
      </c>
      <c r="E58" s="231">
        <f>IF(D58="",,VLOOKUP(D58,D$22:D57,1,0))</f>
        <v>0</v>
      </c>
      <c r="F58" s="239">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3"/>
      <c r="M58" s="233"/>
      <c r="N58" s="233"/>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4">
        <f t="shared" si="13"/>
        <v>0</v>
      </c>
      <c r="V58" s="224">
        <f t="shared" si="14"/>
      </c>
      <c r="W58" s="225" t="s">
        <v>54</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6" t="s">
        <v>54</v>
      </c>
      <c r="B59" s="237"/>
      <c r="C59" s="238"/>
      <c r="D59" s="214">
        <f>IF(ISERROR(VLOOKUP($A59,'[1]liste reference'!$A$7:$D$904,2,0)),IF(ISERROR(VLOOKUP($A59,'[1]liste reference'!$B$7:$D$904,1,0)),"",VLOOKUP($A59,'[1]liste reference'!$B$7:$D$904,1,0)),VLOOKUP($A59,'[1]liste reference'!$A$7:$D$904,2,0))</f>
      </c>
      <c r="E59" s="231">
        <f>IF(D59="",,VLOOKUP(D59,D$22:D58,1,0))</f>
        <v>0</v>
      </c>
      <c r="F59" s="239">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4">
        <f t="shared" si="13"/>
        <v>0</v>
      </c>
      <c r="V59" s="224">
        <f t="shared" si="14"/>
      </c>
      <c r="W59" s="225" t="s">
        <v>54</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6" t="s">
        <v>54</v>
      </c>
      <c r="B60" s="237"/>
      <c r="C60" s="238"/>
      <c r="D60" s="214">
        <f>IF(ISERROR(VLOOKUP($A60,'[1]liste reference'!$A$7:$D$904,2,0)),IF(ISERROR(VLOOKUP($A60,'[1]liste reference'!$B$7:$D$904,1,0)),"",VLOOKUP($A60,'[1]liste reference'!$B$7:$D$904,1,0)),VLOOKUP($A60,'[1]liste reference'!$A$7:$D$904,2,0))</f>
      </c>
      <c r="E60" s="231">
        <f>IF(D60="",,VLOOKUP(D60,D$22:D59,1,0))</f>
        <v>0</v>
      </c>
      <c r="F60" s="239">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4">
        <f t="shared" si="13"/>
        <v>0</v>
      </c>
      <c r="V60" s="224">
        <f t="shared" si="14"/>
      </c>
      <c r="W60" s="225" t="s">
        <v>54</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6" t="s">
        <v>54</v>
      </c>
      <c r="B61" s="237"/>
      <c r="C61" s="238"/>
      <c r="D61" s="214">
        <f>IF(ISERROR(VLOOKUP($A61,'[1]liste reference'!$A$7:$D$904,2,0)),IF(ISERROR(VLOOKUP($A61,'[1]liste reference'!$B$7:$D$904,1,0)),"",VLOOKUP($A61,'[1]liste reference'!$B$7:$D$904,1,0)),VLOOKUP($A61,'[1]liste reference'!$A$7:$D$904,2,0))</f>
      </c>
      <c r="E61" s="231">
        <f>IF(D61="",,VLOOKUP(D61,D$22:D60,1,0))</f>
        <v>0</v>
      </c>
      <c r="F61" s="239">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3"/>
      <c r="M61" s="233"/>
      <c r="N61" s="233"/>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4">
        <f t="shared" si="13"/>
        <v>0</v>
      </c>
      <c r="V61" s="224">
        <f t="shared" si="14"/>
      </c>
      <c r="W61" s="225" t="s">
        <v>54</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6" t="s">
        <v>54</v>
      </c>
      <c r="B62" s="237"/>
      <c r="C62" s="238"/>
      <c r="D62" s="214">
        <f>IF(ISERROR(VLOOKUP($A62,'[1]liste reference'!$A$7:$D$904,2,0)),IF(ISERROR(VLOOKUP($A62,'[1]liste reference'!$B$7:$D$904,1,0)),"",VLOOKUP($A62,'[1]liste reference'!$B$7:$D$904,1,0)),VLOOKUP($A62,'[1]liste reference'!$A$7:$D$904,2,0))</f>
      </c>
      <c r="E62" s="231">
        <f>IF(D62="",,VLOOKUP(D62,D$22:D61,1,0))</f>
        <v>0</v>
      </c>
      <c r="F62" s="239">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3"/>
      <c r="M62" s="233"/>
      <c r="N62" s="233"/>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4">
        <f t="shared" si="13"/>
        <v>0</v>
      </c>
      <c r="V62" s="224">
        <f t="shared" si="14"/>
      </c>
      <c r="W62" s="225" t="s">
        <v>54</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6" t="s">
        <v>54</v>
      </c>
      <c r="B63" s="237"/>
      <c r="C63" s="238"/>
      <c r="D63" s="214">
        <f>IF(ISERROR(VLOOKUP($A63,'[1]liste reference'!$A$7:$D$904,2,0)),IF(ISERROR(VLOOKUP($A63,'[1]liste reference'!$B$7:$D$904,1,0)),"",VLOOKUP($A63,'[1]liste reference'!$B$7:$D$904,1,0)),VLOOKUP($A63,'[1]liste reference'!$A$7:$D$904,2,0))</f>
      </c>
      <c r="E63" s="231">
        <f>IF(D63="",,VLOOKUP(D63,D$22:D62,1,0))</f>
        <v>0</v>
      </c>
      <c r="F63" s="239">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3"/>
      <c r="M63" s="233"/>
      <c r="N63" s="233"/>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4">
        <f t="shared" si="13"/>
        <v>0</v>
      </c>
      <c r="V63" s="224">
        <f t="shared" si="14"/>
      </c>
      <c r="W63" s="225" t="s">
        <v>54</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6" t="s">
        <v>54</v>
      </c>
      <c r="B64" s="237"/>
      <c r="C64" s="238"/>
      <c r="D64" s="214">
        <f>IF(ISERROR(VLOOKUP($A64,'[1]liste reference'!$A$7:$D$904,2,0)),IF(ISERROR(VLOOKUP($A64,'[1]liste reference'!$B$7:$D$904,1,0)),"",VLOOKUP($A64,'[1]liste reference'!$B$7:$D$904,1,0)),VLOOKUP($A64,'[1]liste reference'!$A$7:$D$904,2,0))</f>
      </c>
      <c r="E64" s="231">
        <f>IF(D64="",,VLOOKUP(D64,D$22:D52,1,0))</f>
        <v>0</v>
      </c>
      <c r="F64" s="239">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3"/>
      <c r="M64" s="233"/>
      <c r="N64" s="233"/>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4">
        <f t="shared" si="13"/>
        <v>0</v>
      </c>
      <c r="V64" s="224">
        <f t="shared" si="14"/>
      </c>
      <c r="W64" s="225" t="s">
        <v>54</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6" t="s">
        <v>54</v>
      </c>
      <c r="B65" s="237"/>
      <c r="C65" s="238"/>
      <c r="D65" s="214">
        <f>IF(ISERROR(VLOOKUP($A65,'[1]liste reference'!$A$7:$D$904,2,0)),IF(ISERROR(VLOOKUP($A65,'[1]liste reference'!$B$7:$D$904,1,0)),"",VLOOKUP($A65,'[1]liste reference'!$B$7:$D$904,1,0)),VLOOKUP($A65,'[1]liste reference'!$A$7:$D$904,2,0))</f>
      </c>
      <c r="E65" s="231">
        <f>IF(D65="",,VLOOKUP(D65,D$22:D53,1,0))</f>
        <v>0</v>
      </c>
      <c r="F65" s="239">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3"/>
      <c r="M65" s="233"/>
      <c r="N65" s="233"/>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4">
        <f t="shared" si="13"/>
        <v>0</v>
      </c>
      <c r="V65" s="224">
        <f t="shared" si="14"/>
      </c>
      <c r="W65" s="225" t="s">
        <v>54</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6" t="s">
        <v>54</v>
      </c>
      <c r="B66" s="237"/>
      <c r="C66" s="238"/>
      <c r="D66" s="214">
        <f>IF(ISERROR(VLOOKUP($A66,'[1]liste reference'!$A$7:$D$904,2,0)),IF(ISERROR(VLOOKUP($A66,'[1]liste reference'!$B$7:$D$904,1,0)),"",VLOOKUP($A66,'[1]liste reference'!$B$7:$D$904,1,0)),VLOOKUP($A66,'[1]liste reference'!$A$7:$D$904,2,0))</f>
      </c>
      <c r="E66" s="231">
        <f>IF(D66="",,VLOOKUP(D66,D$22:D51,1,0))</f>
        <v>0</v>
      </c>
      <c r="F66" s="239">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3"/>
      <c r="M66" s="233"/>
      <c r="N66" s="233"/>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4">
        <f t="shared" si="13"/>
        <v>0</v>
      </c>
      <c r="V66" s="224">
        <f t="shared" si="14"/>
      </c>
      <c r="W66" s="225" t="s">
        <v>54</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6" t="s">
        <v>54</v>
      </c>
      <c r="B67" s="237"/>
      <c r="C67" s="238"/>
      <c r="D67" s="214">
        <f>IF(ISERROR(VLOOKUP($A67,'[1]liste reference'!$A$7:$D$904,2,0)),IF(ISERROR(VLOOKUP($A67,'[1]liste reference'!$B$7:$D$904,1,0)),"",VLOOKUP($A67,'[1]liste reference'!$B$7:$D$904,1,0)),VLOOKUP($A67,'[1]liste reference'!$A$7:$D$904,2,0))</f>
      </c>
      <c r="E67" s="231">
        <f>IF(D67="",,VLOOKUP(D67,D$22:D52,1,0))</f>
        <v>0</v>
      </c>
      <c r="F67" s="239">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3"/>
      <c r="M67" s="233"/>
      <c r="N67" s="233"/>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4">
        <f t="shared" si="13"/>
        <v>0</v>
      </c>
      <c r="V67" s="224">
        <f t="shared" si="14"/>
      </c>
      <c r="W67" s="225" t="s">
        <v>54</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6" t="s">
        <v>54</v>
      </c>
      <c r="B68" s="237"/>
      <c r="C68" s="238"/>
      <c r="D68" s="214">
        <f>IF(ISERROR(VLOOKUP($A68,'[1]liste reference'!$A$7:$D$904,2,0)),IF(ISERROR(VLOOKUP($A68,'[1]liste reference'!$B$7:$D$904,1,0)),"",VLOOKUP($A68,'[1]liste reference'!$B$7:$D$904,1,0)),VLOOKUP($A68,'[1]liste reference'!$A$7:$D$904,2,0))</f>
      </c>
      <c r="E68" s="231">
        <f>IF(D68="",,VLOOKUP(D68,D$22:D53,1,0))</f>
        <v>0</v>
      </c>
      <c r="F68" s="239">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3"/>
      <c r="M68" s="233"/>
      <c r="N68" s="233"/>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4">
        <f t="shared" si="13"/>
        <v>0</v>
      </c>
      <c r="V68" s="224">
        <f t="shared" si="14"/>
      </c>
      <c r="W68" s="225" t="s">
        <v>54</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6" t="s">
        <v>54</v>
      </c>
      <c r="B69" s="237"/>
      <c r="C69" s="238"/>
      <c r="D69" s="214">
        <f>IF(ISERROR(VLOOKUP($A69,'[1]liste reference'!$A$7:$D$904,2,0)),IF(ISERROR(VLOOKUP($A69,'[1]liste reference'!$B$7:$D$904,1,0)),"",VLOOKUP($A69,'[1]liste reference'!$B$7:$D$904,1,0)),VLOOKUP($A69,'[1]liste reference'!$A$7:$D$904,2,0))</f>
      </c>
      <c r="E69" s="231">
        <f>IF(D69="",,VLOOKUP(D69,D$22:D54,1,0))</f>
        <v>0</v>
      </c>
      <c r="F69" s="239">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3"/>
      <c r="M69" s="233"/>
      <c r="N69" s="233"/>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4">
        <f t="shared" si="13"/>
        <v>0</v>
      </c>
      <c r="V69" s="224">
        <f t="shared" si="14"/>
      </c>
      <c r="W69" s="225" t="s">
        <v>54</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6" t="s">
        <v>54</v>
      </c>
      <c r="B70" s="237"/>
      <c r="C70" s="238"/>
      <c r="D70" s="214">
        <f>IF(ISERROR(VLOOKUP($A70,'[1]liste reference'!$A$7:$D$904,2,0)),IF(ISERROR(VLOOKUP($A70,'[1]liste reference'!$B$7:$D$904,1,0)),"",VLOOKUP($A70,'[1]liste reference'!$B$7:$D$904,1,0)),VLOOKUP($A70,'[1]liste reference'!$A$7:$D$904,2,0))</f>
      </c>
      <c r="E70" s="231">
        <f>IF(D70="",,VLOOKUP(D70,D$22:D55,1,0))</f>
        <v>0</v>
      </c>
      <c r="F70" s="239">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3"/>
      <c r="M70" s="233"/>
      <c r="N70" s="233"/>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4">
        <f t="shared" si="13"/>
        <v>0</v>
      </c>
      <c r="V70" s="224">
        <f t="shared" si="14"/>
      </c>
      <c r="W70" s="225" t="s">
        <v>54</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6" t="s">
        <v>54</v>
      </c>
      <c r="B71" s="237"/>
      <c r="C71" s="238"/>
      <c r="D71" s="214">
        <f>IF(ISERROR(VLOOKUP($A71,'[1]liste reference'!$A$7:$D$904,2,0)),IF(ISERROR(VLOOKUP($A71,'[1]liste reference'!$B$7:$D$904,1,0)),"",VLOOKUP($A71,'[1]liste reference'!$B$7:$D$904,1,0)),VLOOKUP($A71,'[1]liste reference'!$A$7:$D$904,2,0))</f>
      </c>
      <c r="E71" s="231">
        <f>IF(D71="",,VLOOKUP(D71,D$22:D56,1,0))</f>
        <v>0</v>
      </c>
      <c r="F71" s="239">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3"/>
      <c r="M71" s="233"/>
      <c r="N71" s="233"/>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4">
        <f t="shared" si="13"/>
        <v>0</v>
      </c>
      <c r="V71" s="224">
        <f t="shared" si="14"/>
      </c>
      <c r="W71" s="225" t="s">
        <v>54</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6" t="s">
        <v>54</v>
      </c>
      <c r="B72" s="237"/>
      <c r="C72" s="238"/>
      <c r="D72" s="214">
        <f>IF(ISERROR(VLOOKUP($A72,'[1]liste reference'!$A$7:$D$904,2,0)),IF(ISERROR(VLOOKUP($A72,'[1]liste reference'!$B$7:$D$904,1,0)),"",VLOOKUP($A72,'[1]liste reference'!$B$7:$D$904,1,0)),VLOOKUP($A72,'[1]liste reference'!$A$7:$D$904,2,0))</f>
      </c>
      <c r="E72" s="231">
        <f>IF(D72="",,VLOOKUP(D72,D$22:D57,1,0))</f>
        <v>0</v>
      </c>
      <c r="F72" s="239">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3"/>
      <c r="M72" s="233"/>
      <c r="N72" s="233"/>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4">
        <f t="shared" si="13"/>
        <v>0</v>
      </c>
      <c r="V72" s="224">
        <f t="shared" si="14"/>
      </c>
      <c r="W72" s="225" t="s">
        <v>54</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6" t="s">
        <v>54</v>
      </c>
      <c r="B73" s="237"/>
      <c r="C73" s="238"/>
      <c r="D73" s="214">
        <f>IF(ISERROR(VLOOKUP($A73,'[1]liste reference'!$A$7:$D$904,2,0)),IF(ISERROR(VLOOKUP($A73,'[1]liste reference'!$B$7:$D$904,1,0)),"",VLOOKUP($A73,'[1]liste reference'!$B$7:$D$904,1,0)),VLOOKUP($A73,'[1]liste reference'!$A$7:$D$904,2,0))</f>
      </c>
      <c r="E73" s="231">
        <f>IF(D73="",,VLOOKUP(D73,D$22:D57,1,0))</f>
        <v>0</v>
      </c>
      <c r="F73" s="239">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3"/>
      <c r="M73" s="233"/>
      <c r="N73" s="233"/>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4">
        <f t="shared" si="13"/>
        <v>0</v>
      </c>
      <c r="V73" s="224">
        <f t="shared" si="14"/>
      </c>
      <c r="W73" s="225" t="s">
        <v>54</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6" t="s">
        <v>54</v>
      </c>
      <c r="B74" s="237"/>
      <c r="C74" s="238"/>
      <c r="D74" s="214">
        <f>IF(ISERROR(VLOOKUP($A74,'[1]liste reference'!$A$7:$D$904,2,0)),IF(ISERROR(VLOOKUP($A74,'[1]liste reference'!$B$7:$D$904,1,0)),"",VLOOKUP($A74,'[1]liste reference'!$B$7:$D$904,1,0)),VLOOKUP($A74,'[1]liste reference'!$A$7:$D$904,2,0))</f>
      </c>
      <c r="E74" s="231">
        <f>IF(D74="",,VLOOKUP(D74,D$22:D58,1,0))</f>
        <v>0</v>
      </c>
      <c r="F74" s="239">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3"/>
      <c r="M74" s="233"/>
      <c r="N74" s="233"/>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4">
        <f t="shared" si="13"/>
        <v>0</v>
      </c>
      <c r="V74" s="224">
        <f t="shared" si="14"/>
      </c>
      <c r="W74" s="225" t="s">
        <v>54</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6" t="s">
        <v>54</v>
      </c>
      <c r="B75" s="237"/>
      <c r="C75" s="238"/>
      <c r="D75" s="214">
        <f>IF(ISERROR(VLOOKUP($A75,'[1]liste reference'!$A$7:$D$904,2,0)),IF(ISERROR(VLOOKUP($A75,'[1]liste reference'!$B$7:$D$904,1,0)),"",VLOOKUP($A75,'[1]liste reference'!$B$7:$D$904,1,0)),VLOOKUP($A75,'[1]liste reference'!$A$7:$D$904,2,0))</f>
      </c>
      <c r="E75" s="231">
        <f>IF(D75="",,VLOOKUP(D75,D$22:D59,1,0))</f>
        <v>0</v>
      </c>
      <c r="F75" s="239">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3"/>
      <c r="M75" s="233"/>
      <c r="N75" s="233"/>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4">
        <f t="shared" si="13"/>
        <v>0</v>
      </c>
      <c r="V75" s="224">
        <f t="shared" si="14"/>
      </c>
      <c r="W75" s="225" t="s">
        <v>54</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6" t="s">
        <v>54</v>
      </c>
      <c r="B76" s="237"/>
      <c r="C76" s="238"/>
      <c r="D76" s="214">
        <f>IF(ISERROR(VLOOKUP($A76,'[1]liste reference'!$A$7:$D$904,2,0)),IF(ISERROR(VLOOKUP($A76,'[1]liste reference'!$B$7:$D$904,1,0)),"",VLOOKUP($A76,'[1]liste reference'!$B$7:$D$904,1,0)),VLOOKUP($A76,'[1]liste reference'!$A$7:$D$904,2,0))</f>
      </c>
      <c r="E76" s="231">
        <f>IF(D76="",,VLOOKUP(D76,D$22:D59,1,0))</f>
        <v>0</v>
      </c>
      <c r="F76" s="239">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3"/>
      <c r="M76" s="233"/>
      <c r="N76" s="233"/>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4">
        <f t="shared" si="13"/>
        <v>0</v>
      </c>
      <c r="V76" s="224">
        <f t="shared" si="14"/>
      </c>
      <c r="W76" s="225" t="s">
        <v>54</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6" t="s">
        <v>54</v>
      </c>
      <c r="B77" s="237"/>
      <c r="C77" s="238"/>
      <c r="D77" s="214">
        <f>IF(ISERROR(VLOOKUP($A77,'[1]liste reference'!$A$7:$D$904,2,0)),IF(ISERROR(VLOOKUP($A77,'[1]liste reference'!$B$7:$D$904,1,0)),"",VLOOKUP($A77,'[1]liste reference'!$B$7:$D$904,1,0)),VLOOKUP($A77,'[1]liste reference'!$A$7:$D$904,2,0))</f>
      </c>
      <c r="E77" s="231">
        <f>IF(D77="",,VLOOKUP(D77,D$22:D75,1,0))</f>
        <v>0</v>
      </c>
      <c r="F77" s="239">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3"/>
      <c r="M77" s="233"/>
      <c r="N77" s="233"/>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4">
        <f t="shared" si="13"/>
        <v>0</v>
      </c>
      <c r="V77" s="224">
        <f t="shared" si="14"/>
      </c>
      <c r="W77" s="225" t="s">
        <v>54</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6" t="s">
        <v>54</v>
      </c>
      <c r="B78" s="237"/>
      <c r="C78" s="238"/>
      <c r="D78" s="214">
        <f>IF(ISERROR(VLOOKUP($A78,'[1]liste reference'!$A$7:$D$904,2,0)),IF(ISERROR(VLOOKUP($A78,'[1]liste reference'!$B$7:$D$904,1,0)),"",VLOOKUP($A78,'[1]liste reference'!$B$7:$D$904,1,0)),VLOOKUP($A78,'[1]liste reference'!$A$7:$D$904,2,0))</f>
      </c>
      <c r="E78" s="231">
        <f>IF(D78="",,VLOOKUP(D78,D$22:D75,1,0))</f>
        <v>0</v>
      </c>
      <c r="F78" s="239">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3"/>
      <c r="M78" s="233"/>
      <c r="N78" s="233"/>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4">
        <f t="shared" si="13"/>
        <v>0</v>
      </c>
      <c r="V78" s="224">
        <f t="shared" si="14"/>
      </c>
      <c r="W78" s="225" t="s">
        <v>54</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6" t="s">
        <v>54</v>
      </c>
      <c r="B79" s="237"/>
      <c r="C79" s="238"/>
      <c r="D79" s="214">
        <f>IF(ISERROR(VLOOKUP($A79,'[1]liste reference'!$A$7:$D$904,2,0)),IF(ISERROR(VLOOKUP($A79,'[1]liste reference'!$B$7:$D$904,1,0)),"",VLOOKUP($A79,'[1]liste reference'!$B$7:$D$904,1,0)),VLOOKUP($A79,'[1]liste reference'!$A$7:$D$904,2,0))</f>
      </c>
      <c r="E79" s="231">
        <f>IF(D79="",,VLOOKUP(D79,D$22:D75,1,0))</f>
        <v>0</v>
      </c>
      <c r="F79" s="239">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3"/>
      <c r="M79" s="233"/>
      <c r="N79" s="233"/>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4">
        <f t="shared" si="13"/>
        <v>0</v>
      </c>
      <c r="V79" s="224">
        <f t="shared" si="14"/>
      </c>
      <c r="W79" s="225" t="s">
        <v>54</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6" t="s">
        <v>54</v>
      </c>
      <c r="B80" s="237"/>
      <c r="C80" s="238"/>
      <c r="D80" s="214">
        <f>IF(ISERROR(VLOOKUP($A80,'[1]liste reference'!$A$7:$D$904,2,0)),IF(ISERROR(VLOOKUP($A80,'[1]liste reference'!$B$7:$D$904,1,0)),"",VLOOKUP($A80,'[1]liste reference'!$B$7:$D$904,1,0)),VLOOKUP($A80,'[1]liste reference'!$A$7:$D$904,2,0))</f>
      </c>
      <c r="E80" s="231">
        <f>IF(D80="",,VLOOKUP(D80,D$22:D79,1,0))</f>
        <v>0</v>
      </c>
      <c r="F80" s="239">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3"/>
      <c r="M80" s="233"/>
      <c r="N80" s="233"/>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4">
        <f t="shared" si="13"/>
        <v>0</v>
      </c>
      <c r="V80" s="224">
        <f t="shared" si="14"/>
      </c>
      <c r="W80" s="225" t="s">
        <v>54</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6" t="s">
        <v>54</v>
      </c>
      <c r="B81" s="237"/>
      <c r="C81" s="238"/>
      <c r="D81" s="214">
        <f>IF(ISERROR(VLOOKUP($A81,'[1]liste reference'!$A$7:$D$904,2,0)),IF(ISERROR(VLOOKUP($A81,'[1]liste reference'!$B$7:$D$904,1,0)),"",VLOOKUP($A81,'[1]liste reference'!$B$7:$D$904,1,0)),VLOOKUP($A81,'[1]liste reference'!$A$7:$D$904,2,0))</f>
      </c>
      <c r="E81" s="231">
        <f>IF(D81="",,VLOOKUP(D81,D$21:D80,1,0))</f>
        <v>0</v>
      </c>
      <c r="F81" s="239">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4">
        <f t="shared" si="13"/>
        <v>0</v>
      </c>
      <c r="V81" s="224">
        <f t="shared" si="14"/>
      </c>
      <c r="W81" s="225" t="s">
        <v>54</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54</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4">
        <f t="shared" si="13"/>
        <v>0</v>
      </c>
      <c r="V82" s="224">
        <f t="shared" si="14"/>
      </c>
      <c r="W82" s="260" t="s">
        <v>54</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84</v>
      </c>
      <c r="B83" s="164"/>
      <c r="C83" s="164"/>
      <c r="D83" s="164"/>
      <c r="E83" s="164"/>
      <c r="F83" s="164"/>
      <c r="G83" s="164"/>
      <c r="H83" s="164"/>
      <c r="I83" s="164"/>
      <c r="J83" s="164"/>
      <c r="K83" s="164"/>
      <c r="L83" s="164"/>
      <c r="M83" s="223"/>
      <c r="N83" s="223"/>
      <c r="O83" s="223"/>
      <c r="P83" s="263"/>
      <c r="Q83" s="263"/>
      <c r="R83" s="263"/>
      <c r="S83" s="263"/>
      <c r="T83" s="8"/>
      <c r="U83" s="8"/>
      <c r="V83" s="263"/>
      <c r="W83" s="263"/>
      <c r="X83" s="263"/>
      <c r="Y83" s="264"/>
      <c r="Z83" s="264"/>
      <c r="AA83" s="265"/>
      <c r="AB83" s="266"/>
      <c r="AC83" s="266"/>
      <c r="AD83" s="266"/>
    </row>
    <row r="84" spans="1:30" ht="12.75" hidden="1">
      <c r="A84" s="267" t="str">
        <f>A3</f>
        <v>Bes</v>
      </c>
      <c r="B84" s="268" t="str">
        <f>C3</f>
        <v>Barles</v>
      </c>
      <c r="C84" s="269">
        <f>A4</f>
        <v>39658</v>
      </c>
      <c r="D84" s="270">
        <f>IF(ISERROR(SUM($T$23:$T$82)/SUM($U$23:$U$82)),"",SUM($T$23:$T$82)/SUM($U$23:$U$82))</f>
        <v>12.2</v>
      </c>
      <c r="E84" s="271">
        <f>N13</f>
        <v>6</v>
      </c>
      <c r="F84" s="268">
        <f>N14</f>
        <v>4</v>
      </c>
      <c r="G84" s="268">
        <f>N15</f>
        <v>3</v>
      </c>
      <c r="H84" s="268">
        <f>N16</f>
        <v>1</v>
      </c>
      <c r="I84" s="268">
        <f>N17</f>
        <v>0</v>
      </c>
      <c r="J84" s="272">
        <f>N8</f>
        <v>11.5</v>
      </c>
      <c r="K84" s="270">
        <f>N9</f>
        <v>2.0615528128088303</v>
      </c>
      <c r="L84" s="271">
        <f>N10</f>
        <v>10</v>
      </c>
      <c r="M84" s="271">
        <f>N11</f>
        <v>15</v>
      </c>
      <c r="N84" s="270">
        <f>O8</f>
        <v>1.25</v>
      </c>
      <c r="O84" s="270">
        <f>O9</f>
        <v>0.4330127018922193</v>
      </c>
      <c r="P84" s="271">
        <f>O10</f>
        <v>1</v>
      </c>
      <c r="Q84" s="271">
        <f>O11</f>
        <v>2</v>
      </c>
      <c r="R84" s="271">
        <f>F21</f>
        <v>0.046</v>
      </c>
      <c r="S84" s="271">
        <f>K11</f>
        <v>0</v>
      </c>
      <c r="T84" s="271">
        <f>K12</f>
        <v>1</v>
      </c>
      <c r="U84" s="271">
        <f>K13</f>
        <v>1</v>
      </c>
      <c r="V84" s="273">
        <f>K14</f>
        <v>1</v>
      </c>
      <c r="W84" s="274">
        <f>K15</f>
        <v>3</v>
      </c>
      <c r="Z84" s="275"/>
      <c r="AA84" s="275"/>
      <c r="AB84" s="266"/>
      <c r="AC84" s="266"/>
      <c r="AD84" s="266"/>
    </row>
    <row r="85" spans="16:22" ht="12.75" hidden="1">
      <c r="P85" s="8"/>
      <c r="Q85" s="8"/>
      <c r="R85" s="8"/>
      <c r="S85" s="8"/>
      <c r="T85" s="8"/>
      <c r="U85" s="8"/>
      <c r="V85" s="8"/>
    </row>
    <row r="86" spans="16:22" ht="12.75" hidden="1">
      <c r="P86" s="8"/>
      <c r="Q86" s="276" t="s">
        <v>85</v>
      </c>
      <c r="R86" s="8"/>
      <c r="S86" s="224"/>
      <c r="T86" s="8"/>
      <c r="U86" s="8"/>
      <c r="V86" s="8"/>
    </row>
    <row r="87" spans="16:22" ht="12.75" hidden="1">
      <c r="P87" s="8"/>
      <c r="Q87" s="8" t="s">
        <v>86</v>
      </c>
      <c r="R87" s="8"/>
      <c r="S87" s="224">
        <f>VLOOKUP(MAX($S$23:$S$82),($S$23:$U$82),1,0)</f>
        <v>15</v>
      </c>
      <c r="T87" s="8"/>
      <c r="U87" s="8"/>
      <c r="V87" s="8"/>
    </row>
    <row r="88" spans="16:22" ht="12.75" hidden="1">
      <c r="P88" s="8"/>
      <c r="Q88" s="8" t="s">
        <v>87</v>
      </c>
      <c r="R88" s="8"/>
      <c r="S88" s="224">
        <f>VLOOKUP((S87),($S$23:$U$82),2,0)</f>
        <v>30</v>
      </c>
      <c r="T88" s="8"/>
      <c r="U88" s="8"/>
      <c r="V88" s="8"/>
    </row>
    <row r="89" spans="17:20" ht="12.75" hidden="1">
      <c r="Q89" s="8" t="s">
        <v>88</v>
      </c>
      <c r="R89" s="8"/>
      <c r="S89" s="224">
        <f>VLOOKUP((S87),($S$23:$U$82),3,0)</f>
        <v>2</v>
      </c>
      <c r="T89" s="8"/>
    </row>
    <row r="90" spans="17:20" ht="12.75">
      <c r="Q90" s="8" t="s">
        <v>89</v>
      </c>
      <c r="R90" s="8"/>
      <c r="S90" s="277">
        <f>IF(ISERROR(SUM($T$23:$T$82)/SUM($U$23:$U$82)),"",(SUM($T$23:$T$82)-S88)/(SUM($U$23:$U$82)-S89))</f>
        <v>10.333333333333334</v>
      </c>
      <c r="T90" s="8"/>
    </row>
    <row r="91" spans="17:21" ht="12.75">
      <c r="Q91" s="223" t="s">
        <v>90</v>
      </c>
      <c r="R91" s="223"/>
      <c r="S91" s="223" t="str">
        <f>INDEX('[1]liste reference'!$A$8:$A$904,$T$91)</f>
        <v>AMBTEN</v>
      </c>
      <c r="T91" s="8">
        <f>IF(ISERROR(MATCH($S$93,'[1]liste reference'!$A$8:$A$904,0)),MATCH($S$93,'[1]liste reference'!$B$8:$B$904,0),(MATCH($S$93,'[1]liste reference'!$A$8:$A$904,0)))</f>
        <v>150</v>
      </c>
      <c r="U91" s="266"/>
    </row>
    <row r="92" spans="17:20" ht="12.75">
      <c r="Q92" s="8" t="s">
        <v>91</v>
      </c>
      <c r="R92" s="8"/>
      <c r="S92" s="8">
        <f>MATCH(S87,$S$23:$S$82,0)</f>
        <v>2</v>
      </c>
      <c r="T92" s="8"/>
    </row>
    <row r="93" spans="17:20" ht="12.75">
      <c r="Q93" s="223" t="s">
        <v>92</v>
      </c>
      <c r="R93" s="8"/>
      <c r="S93" s="223" t="str">
        <f>INDEX($A$23:$A$82,$S$92)</f>
        <v>AMBTEN</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29:A82">
    <cfRule type="expression" priority="1" dxfId="0" stopIfTrue="1">
      <formula>ISTEXT($E29)</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28">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2013-10-24T14:57:31Z</dcterms:created>
  <dcterms:modified xsi:type="dcterms:W3CDTF">2013-10-24T14:57:43Z</dcterms:modified>
  <cp:category/>
  <cp:version/>
  <cp:contentType/>
  <cp:contentStatus/>
</cp:coreProperties>
</file>