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Bleone-Mallemoisson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'Bleone-Mallemoisson'!$A$1:$O$82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<sst xmlns="http://schemas.openxmlformats.org/spreadsheetml/2006/main" count="208" uniqueCount="86">
  <si>
    <t>Relevés floristiques aquatiques - IBMR</t>
  </si>
  <si>
    <t>GIS Macrophytes - juillet 2006</t>
  </si>
  <si>
    <t>Asconit</t>
  </si>
  <si>
    <t>AFA</t>
  </si>
  <si>
    <t>conforme AFNOR T90-395 oct. 2003</t>
  </si>
  <si>
    <t>Bleone</t>
  </si>
  <si>
    <t>Mallemoisson</t>
  </si>
  <si>
    <t>06158000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</si>
  <si>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</si>
  <si>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</si>
  <si>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</si>
  <si>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</si>
  <si>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</si>
  <si>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</si>
  <si>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</si>
  <si>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</si>
  <si>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</si>
  <si>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radier</t>
  </si>
  <si>
    <t>niv. trophique:</t>
  </si>
  <si>
    <t>fort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</si>
  <si>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</si>
  <si>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</si>
  <si>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</si>
  <si>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</si>
  <si>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</si>
  <si>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</si>
  <si>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</si>
  <si>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</si>
  <si>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</si>
  <si>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</si>
  <si>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</si>
  <si>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</si>
  <si>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</si>
  <si>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</si>
  <si>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</si>
  <si>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</si>
  <si>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</si>
  <si>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</si>
  <si>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</si>
  <si>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</si>
  <si>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</si>
  <si>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</si>
  <si>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</si>
  <si>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</si>
  <si>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</si>
  <si>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</si>
  <si>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</si>
  <si>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</si>
  <si>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</si>
  <si>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</si>
  <si>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</si>
  <si>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</si>
  <si>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</si>
  <si>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</si>
  <si>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</si>
  <si>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</si>
  <si>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</si>
  <si>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</si>
  <si>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</si>
  <si>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</si>
  <si>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</si>
  <si>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</si>
  <si>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</si>
  <si>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</si>
  <si>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</si>
  <si>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</si>
  <si>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</si>
  <si>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</si>
  <si>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</si>
  <si>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</si>
  <si>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</si>
  <si>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</si>
  <si>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</si>
  <si>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SPI.SPX</t>
  </si>
  <si>
    <t>DIA.SPX</t>
  </si>
  <si>
    <t>EQU.PAL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</si>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</sst>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26" borderId="90" xfId="0" applyFont="1" applyFill="1" applyBorder="1" applyAlignment="1" applyProtection="1">
      <alignment horizontal="center" vertical="top"/>
      <protection hidden="1"/>
    </xf>
    <xf numFmtId="0" fontId="33" fillId="26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Arc-Aix"/>
      <sheetName val="Arc-Berre"/>
      <sheetName val="Vesubie-Utelle"/>
      <sheetName val="Lauzon-Brillane"/>
      <sheetName val="Coulomp-St-Benoit"/>
      <sheetName val="Coulon-Cereste"/>
      <sheetName val="Verdon-St-Andr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20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0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7" sqref="A27:B27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40026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9.333333333333334</v>
      </c>
      <c r="M5" s="51"/>
      <c r="N5" s="52" t="s">
        <v>15</v>
      </c>
      <c r="O5" s="53">
        <v>11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>
        <v>100</v>
      </c>
      <c r="C7" s="64"/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24</v>
      </c>
      <c r="B8" s="255"/>
      <c r="C8" s="255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9.5</v>
      </c>
      <c r="O8" s="80">
        <f>AVERAGE(J23:J82)</f>
        <v>1.25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2.516611478423583</v>
      </c>
      <c r="O9" s="80">
        <f>STDEV(J23:J82)</f>
        <v>0.5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6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>
        <v>0</v>
      </c>
      <c r="C11" s="106"/>
      <c r="D11" s="107"/>
      <c r="E11" s="107"/>
      <c r="F11" s="108">
        <f t="shared" si="0"/>
        <v>0</v>
      </c>
      <c r="G11" s="109"/>
      <c r="H11" s="65"/>
      <c r="I11" s="256" t="s">
        <v>33</v>
      </c>
      <c r="J11" s="257"/>
      <c r="K11" s="110">
        <f>COUNTIF($G$23:$G$82,"=HET")</f>
        <v>0</v>
      </c>
      <c r="L11" s="111"/>
      <c r="M11" s="101" t="s">
        <v>34</v>
      </c>
      <c r="N11" s="102">
        <f>MAX(I23:I82)</f>
        <v>12</v>
      </c>
      <c r="O11" s="103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>
        <v>0.52</v>
      </c>
      <c r="C12" s="114"/>
      <c r="D12" s="107"/>
      <c r="E12" s="107"/>
      <c r="F12" s="108">
        <f t="shared" si="0"/>
        <v>0.52</v>
      </c>
      <c r="G12" s="115"/>
      <c r="H12" s="65"/>
      <c r="I12" s="258" t="s">
        <v>36</v>
      </c>
      <c r="J12" s="259"/>
      <c r="K12" s="110">
        <f>COUNTIF($G$23:$G$82,"=ALG")</f>
        <v>3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>
        <v>0</v>
      </c>
      <c r="C13" s="114"/>
      <c r="D13" s="107"/>
      <c r="E13" s="107"/>
      <c r="F13" s="108">
        <f t="shared" si="0"/>
        <v>0</v>
      </c>
      <c r="G13" s="115"/>
      <c r="H13" s="65"/>
      <c r="I13" s="260" t="s">
        <v>38</v>
      </c>
      <c r="J13" s="259"/>
      <c r="K13" s="110">
        <f>COUNTIF($G$23:$G$82,"=BRm")+COUNTIF($G$23:$G$82,"=BRh")</f>
        <v>0</v>
      </c>
      <c r="L13" s="111"/>
      <c r="M13" s="122" t="s">
        <v>39</v>
      </c>
      <c r="N13" s="123">
        <f>COUNTIF(F23:F82,"&gt;0")</f>
        <v>4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>
        <v>0.01</v>
      </c>
      <c r="C14" s="114"/>
      <c r="D14" s="107"/>
      <c r="E14" s="107"/>
      <c r="F14" s="108">
        <f t="shared" si="0"/>
        <v>0.01</v>
      </c>
      <c r="G14" s="115"/>
      <c r="H14" s="65"/>
      <c r="I14" s="260" t="s">
        <v>41</v>
      </c>
      <c r="J14" s="259"/>
      <c r="K14" s="110">
        <f>COUNTIF($G$23:$G$82,"=PTE")</f>
        <v>1</v>
      </c>
      <c r="L14" s="111"/>
      <c r="M14" s="125" t="s">
        <v>42</v>
      </c>
      <c r="N14" s="126">
        <f>COUNTIF($I$23:$I$82,"&gt;-1")</f>
        <v>4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>
        <v>0.01</v>
      </c>
      <c r="C15" s="130"/>
      <c r="D15" s="107"/>
      <c r="E15" s="107"/>
      <c r="F15" s="108">
        <f t="shared" si="0"/>
        <v>0.01</v>
      </c>
      <c r="G15" s="115"/>
      <c r="H15" s="65"/>
      <c r="I15" s="260" t="s">
        <v>44</v>
      </c>
      <c r="J15" s="259"/>
      <c r="K15" s="110">
        <f>(COUNTIF($G$23:$G$82,"=PHy"))+(COUNTIF($G$23:$G$82,"=PHe"))+(COUNTIF($G$23:$G$82,"=PHg"))+(COUNTIF($G$23:$G$82,"=PHx"))</f>
        <v>0</v>
      </c>
      <c r="L15" s="111"/>
      <c r="M15" s="131" t="s">
        <v>45</v>
      </c>
      <c r="N15" s="132">
        <f>COUNTIF(J23:J82,"=1")</f>
        <v>3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>
        <v>0</v>
      </c>
      <c r="C16" s="106"/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1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>
        <v>0.52</v>
      </c>
      <c r="C17" s="114"/>
      <c r="D17" s="107"/>
      <c r="E17" s="107"/>
      <c r="F17" s="136"/>
      <c r="G17" s="108">
        <f t="shared" si="0"/>
        <v>0.52</v>
      </c>
      <c r="H17" s="65"/>
      <c r="I17" s="260"/>
      <c r="J17" s="259"/>
      <c r="K17" s="117"/>
      <c r="L17" s="111"/>
      <c r="M17" s="131" t="s">
        <v>49</v>
      </c>
      <c r="N17" s="132">
        <f>COUNTIF(J23:J82,"=3")</f>
        <v>0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>
        <v>0.02</v>
      </c>
      <c r="C18" s="140"/>
      <c r="D18" s="107"/>
      <c r="E18" s="141" t="s">
        <v>51</v>
      </c>
      <c r="F18" s="136"/>
      <c r="G18" s="108">
        <f t="shared" si="0"/>
        <v>0.02</v>
      </c>
      <c r="H18" s="65"/>
      <c r="I18" s="260"/>
      <c r="J18" s="259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0.54</v>
      </c>
      <c r="G19" s="149">
        <f>SUM(G16:G18)</f>
        <v>0.54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85</v>
      </c>
      <c r="B20" s="157">
        <f>SUM(B23:B82)</f>
        <v>0.53</v>
      </c>
      <c r="C20" s="158">
        <f>SUM(C23:C82)</f>
        <v>0</v>
      </c>
      <c r="D20" s="159"/>
      <c r="E20" s="160" t="s">
        <v>51</v>
      </c>
      <c r="F20" s="161">
        <f>($B20*$B$7+$C20*$C$7)/100</f>
        <v>0.53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0.53</v>
      </c>
      <c r="C21" s="170">
        <f>C20*C7/100</f>
        <v>0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0.53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61" t="s">
        <v>62</v>
      </c>
      <c r="L22" s="261"/>
      <c r="M22" s="261"/>
      <c r="N22" s="261"/>
      <c r="O22" s="262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73</v>
      </c>
      <c r="B23" s="192">
        <v>0.01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Spirogyra sp.       </v>
      </c>
      <c r="E23" s="194" t="e">
        <f>IF(D23="",,VLOOKUP(D23,D$22:D22,1,0))</f>
        <v>#N/A</v>
      </c>
      <c r="F23" s="195">
        <f aca="true" t="shared" si="1" ref="F23:F82">($B23*$B$7+$C23*$C$7)/100</f>
        <v>0.01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10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Spirogyra sp.       </v>
      </c>
      <c r="L23" s="201"/>
      <c r="M23" s="201"/>
      <c r="N23" s="201"/>
      <c r="O23" s="202"/>
      <c r="P23" s="203">
        <f aca="true" t="shared" si="2" ref="P23:P82">IF(ISTEXT(H23),"",(B23*$B$7/100)+(C23*$C$7/100))</f>
        <v>0.01</v>
      </c>
      <c r="Q23" s="204">
        <f>IF(OR(ISTEXT(H23),P23=0),"",IF(P23&lt;0.1,1,IF(P23&lt;1,2,IF(P23&lt;10,3,IF(P23&lt;50,4,IF(P23&gt;=50,5,""))))))</f>
        <v>1</v>
      </c>
      <c r="R23" s="204">
        <f aca="true" t="shared" si="3" ref="R23:R82">IF(ISERROR(Q23*I23),0,Q23*I23)</f>
        <v>10</v>
      </c>
      <c r="S23" s="204">
        <f aca="true" t="shared" si="4" ref="S23:S82">IF(ISERROR(Q23*I23*J23),0,Q23*I23*J23)</f>
        <v>10</v>
      </c>
      <c r="T23" s="204">
        <f aca="true" t="shared" si="5" ref="T23:T82">IF(ISERROR(Q23*J23),0,Q23*J23)</f>
        <v>1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SPI.SPX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70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15</v>
      </c>
      <c r="B24" s="211">
        <v>0.5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Cladophora sp. </v>
      </c>
      <c r="E24" s="213" t="e">
        <f>IF(D24="",,VLOOKUP(D24,D$22:D23,1,0))</f>
        <v>#N/A</v>
      </c>
      <c r="F24" s="214">
        <f t="shared" si="1"/>
        <v>0.5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Cladophora sp. </v>
      </c>
      <c r="L24" s="218"/>
      <c r="M24" s="218"/>
      <c r="N24" s="218"/>
      <c r="O24" s="202"/>
      <c r="P24" s="203">
        <f t="shared" si="2"/>
        <v>0.5</v>
      </c>
      <c r="Q24" s="204">
        <f aca="true" t="shared" si="8" ref="Q24:Q82">IF(OR(ISTEXT(H24),P24=0),"",IF(P24&lt;0.1,1,IF(P24&lt;1,2,IF(P24&lt;10,3,IF(P24&lt;50,4,IF(P24&gt;=50,5,""))))))</f>
        <v>2</v>
      </c>
      <c r="R24" s="204">
        <f t="shared" si="3"/>
        <v>12</v>
      </c>
      <c r="S24" s="204">
        <f t="shared" si="4"/>
        <v>12</v>
      </c>
      <c r="T24" s="219">
        <f t="shared" si="5"/>
        <v>2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CLA.SPX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24</v>
      </c>
      <c r="Z24" s="208"/>
      <c r="AA24" s="209"/>
      <c r="BB24" s="7">
        <f t="shared" si="7"/>
        <v>1</v>
      </c>
    </row>
    <row r="25" spans="1:54" ht="12.75">
      <c r="A25" s="210" t="s">
        <v>74</v>
      </c>
      <c r="B25" s="211">
        <v>0.01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Diatoma sp.</v>
      </c>
      <c r="E25" s="213" t="e">
        <f>IF(D25="",,VLOOKUP(D25,D$22:D24,1,0))</f>
        <v>#N/A</v>
      </c>
      <c r="F25" s="214">
        <f t="shared" si="1"/>
        <v>0.01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12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Diatoma sp.</v>
      </c>
      <c r="L25" s="218"/>
      <c r="M25" s="218"/>
      <c r="N25" s="218"/>
      <c r="O25" s="202"/>
      <c r="P25" s="203">
        <f t="shared" si="2"/>
        <v>0.01</v>
      </c>
      <c r="Q25" s="204">
        <f t="shared" si="8"/>
        <v>1</v>
      </c>
      <c r="R25" s="204">
        <f t="shared" si="3"/>
        <v>12</v>
      </c>
      <c r="S25" s="204">
        <f t="shared" si="4"/>
        <v>24</v>
      </c>
      <c r="T25" s="219">
        <f t="shared" si="5"/>
        <v>2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DIA.SPX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27</v>
      </c>
      <c r="Z25" s="208"/>
      <c r="AA25" s="209"/>
      <c r="BB25" s="7">
        <f t="shared" si="7"/>
        <v>1</v>
      </c>
    </row>
    <row r="26" spans="1:54" ht="12.75">
      <c r="A26" s="210" t="s">
        <v>75</v>
      </c>
      <c r="B26" s="211">
        <v>0.01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Equisetum palustre</v>
      </c>
      <c r="E26" s="213" t="e">
        <f>IF(D26="",,VLOOKUP(D26,D$22:D25,1,0))</f>
        <v>#N/A</v>
      </c>
      <c r="F26" s="214">
        <f t="shared" si="1"/>
        <v>0.01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PTE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6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Equisetum palustre</v>
      </c>
      <c r="L26" s="218"/>
      <c r="M26" s="218"/>
      <c r="N26" s="218"/>
      <c r="O26" s="202"/>
      <c r="P26" s="203">
        <f>IF(ISTEXT(H26),"",(B26*$B$7/100)+(C26*$C$7/100))</f>
        <v>0.01</v>
      </c>
      <c r="Q26" s="204">
        <f t="shared" si="8"/>
        <v>1</v>
      </c>
      <c r="R26" s="204">
        <f>IF(ISERROR(Q26*I26),0,Q26*I26)</f>
        <v>10</v>
      </c>
      <c r="S26" s="204">
        <f>IF(ISERROR(Q26*I26*J26),0,Q26*I26*J26)</f>
        <v>10</v>
      </c>
      <c r="T26" s="219">
        <f>IF(ISERROR(Q26*J26),0,Q26*J26)</f>
        <v>1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EQU.PAL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282</v>
      </c>
      <c r="Z26" s="208"/>
      <c r="AA26" s="209"/>
      <c r="BB26" s="7">
        <f t="shared" si="7"/>
        <v>1</v>
      </c>
    </row>
    <row r="27" spans="1:54" ht="12.75">
      <c r="A27" s="210"/>
      <c r="B27" s="211"/>
      <c r="C27" s="212"/>
      <c r="D27" s="213">
        <f>IF(ISERROR(VLOOKUP($A27,'[1]liste reference'!$A$7:$D$906,2,0)),IF(ISERROR(VLOOKUP($A27,'[1]liste reference'!$B$7:$D$906,1,0)),"",VLOOKUP($A27,'[1]liste reference'!$B$7:$D$906,1,0)),VLOOKUP($A27,'[1]liste reference'!$A$7:$D$906,2,0))</f>
      </c>
      <c r="E27" s="213">
        <f>IF(D27="",,VLOOKUP(D27,D$22:D26,1,0))</f>
        <v>0</v>
      </c>
      <c r="F27" s="214">
        <f t="shared" si="1"/>
        <v>0</v>
      </c>
      <c r="G27" s="215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</c>
      <c r="H27" s="197" t="str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x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17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</c>
      <c r="L27" s="218"/>
      <c r="M27" s="218"/>
      <c r="N27" s="218"/>
      <c r="O27" s="202"/>
      <c r="P27" s="203">
        <f t="shared" si="2"/>
      </c>
      <c r="Q27" s="204">
        <f t="shared" si="8"/>
      </c>
      <c r="R27" s="204">
        <f t="shared" si="3"/>
        <v>0</v>
      </c>
      <c r="S27" s="204">
        <f t="shared" si="4"/>
        <v>0</v>
      </c>
      <c r="T27" s="219">
        <f t="shared" si="5"/>
        <v>0</v>
      </c>
      <c r="U27" s="205">
        <f t="shared" si="6"/>
      </c>
      <c r="V27" s="206" t="s">
        <v>52</v>
      </c>
      <c r="X27" s="207">
        <f>IF(A27="new.cod","NEW.COD",IF(AND((Y27=""),ISTEXT(A27)),A27,IF(Y27="","",INDEX('[1]liste reference'!$A$7:$A$906,Y27))))</f>
      </c>
      <c r="Y27" s="7">
        <f>IF(ISERROR(MATCH(A27,'[1]liste reference'!$A$7:$A$906,0)),IF(ISERROR(MATCH(A27,'[1]liste reference'!$B$7:$B$906,0)),"",(MATCH(A27,'[1]liste reference'!$B$7:$B$906,0))),(MATCH(A27,'[1]liste reference'!$A$7:$A$906,0)))</f>
      </c>
      <c r="Z27" s="208"/>
      <c r="AA27" s="209"/>
      <c r="BB27" s="7">
        <f t="shared" si="7"/>
      </c>
    </row>
    <row r="28" spans="1:54" ht="12.75">
      <c r="A28" s="210" t="s">
        <v>52</v>
      </c>
      <c r="B28" s="211"/>
      <c r="C28" s="212"/>
      <c r="D28" s="213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13">
        <f>IF(D28="",,VLOOKUP(D28,D$22:D27,1,0))</f>
        <v>0</v>
      </c>
      <c r="F28" s="214">
        <f t="shared" si="1"/>
        <v>0</v>
      </c>
      <c r="G28" s="215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197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17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18"/>
      <c r="M28" s="218"/>
      <c r="N28" s="218"/>
      <c r="O28" s="202"/>
      <c r="P28" s="203">
        <f t="shared" si="2"/>
      </c>
      <c r="Q28" s="204">
        <f t="shared" si="8"/>
      </c>
      <c r="R28" s="204">
        <f t="shared" si="3"/>
        <v>0</v>
      </c>
      <c r="S28" s="204">
        <f t="shared" si="4"/>
        <v>0</v>
      </c>
      <c r="T28" s="219">
        <f t="shared" si="5"/>
        <v>0</v>
      </c>
      <c r="U28" s="205">
        <f t="shared" si="6"/>
      </c>
      <c r="V28" s="206" t="s">
        <v>52</v>
      </c>
      <c r="X28" s="207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08"/>
      <c r="AA28" s="209"/>
      <c r="BB28" s="7">
        <f t="shared" si="7"/>
      </c>
    </row>
    <row r="29" spans="1:54" ht="12.75">
      <c r="A29" s="210" t="s">
        <v>52</v>
      </c>
      <c r="B29" s="211"/>
      <c r="C29" s="212"/>
      <c r="D29" s="213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13">
        <f>IF(D29="",,VLOOKUP(D29,D$22:D28,1,0))</f>
        <v>0</v>
      </c>
      <c r="F29" s="214">
        <f t="shared" si="1"/>
        <v>0</v>
      </c>
      <c r="G29" s="215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197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17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18"/>
      <c r="M29" s="218"/>
      <c r="N29" s="218"/>
      <c r="O29" s="202"/>
      <c r="P29" s="203">
        <f>IF(ISTEXT(H29),"",(B29*$B$7/100)+(C29*$C$7/100))</f>
      </c>
      <c r="Q29" s="204">
        <f t="shared" si="8"/>
      </c>
      <c r="R29" s="204">
        <f>IF(ISERROR(Q29*I29),0,Q29*I29)</f>
        <v>0</v>
      </c>
      <c r="S29" s="204">
        <f>IF(ISERROR(Q29*I29*J29),0,Q29*I29*J29)</f>
        <v>0</v>
      </c>
      <c r="T29" s="219">
        <f>IF(ISERROR(Q29*J29),0,Q29*J29)</f>
        <v>0</v>
      </c>
      <c r="U29" s="205">
        <f t="shared" si="6"/>
      </c>
      <c r="V29" s="206" t="s">
        <v>52</v>
      </c>
      <c r="X29" s="207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08"/>
      <c r="AA29" s="209"/>
      <c r="BB29" s="7">
        <f t="shared" si="7"/>
      </c>
    </row>
    <row r="30" spans="1:54" ht="12.75">
      <c r="A30" s="210" t="s">
        <v>52</v>
      </c>
      <c r="B30" s="211"/>
      <c r="C30" s="212"/>
      <c r="D30" s="213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13">
        <f>IF(D30="",,VLOOKUP(D30,D$22:D29,1,0))</f>
        <v>0</v>
      </c>
      <c r="F30" s="214">
        <f t="shared" si="1"/>
        <v>0</v>
      </c>
      <c r="G30" s="215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197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17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18"/>
      <c r="M30" s="218"/>
      <c r="N30" s="218"/>
      <c r="O30" s="202"/>
      <c r="P30" s="203">
        <f t="shared" si="2"/>
      </c>
      <c r="Q30" s="204">
        <f t="shared" si="8"/>
      </c>
      <c r="R30" s="204">
        <f t="shared" si="3"/>
        <v>0</v>
      </c>
      <c r="S30" s="204">
        <f t="shared" si="4"/>
        <v>0</v>
      </c>
      <c r="T30" s="219">
        <f t="shared" si="5"/>
        <v>0</v>
      </c>
      <c r="U30" s="205">
        <f t="shared" si="6"/>
      </c>
      <c r="V30" s="206" t="s">
        <v>52</v>
      </c>
      <c r="X30" s="207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08"/>
      <c r="AA30" s="209"/>
      <c r="BB30" s="7">
        <f t="shared" si="7"/>
      </c>
    </row>
    <row r="31" spans="1:54" ht="12.75">
      <c r="A31" s="210" t="s">
        <v>52</v>
      </c>
      <c r="B31" s="211"/>
      <c r="C31" s="212"/>
      <c r="D31" s="213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13">
        <f>IF(D31="",,VLOOKUP(D31,D$21:D30,1,0))</f>
        <v>0</v>
      </c>
      <c r="F31" s="214">
        <f t="shared" si="1"/>
        <v>0</v>
      </c>
      <c r="G31" s="215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197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18"/>
      <c r="M31" s="218"/>
      <c r="N31" s="218"/>
      <c r="O31" s="202"/>
      <c r="P31" s="203">
        <f t="shared" si="2"/>
      </c>
      <c r="Q31" s="204">
        <f t="shared" si="8"/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52</v>
      </c>
      <c r="W31" s="220"/>
      <c r="X31" s="207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08"/>
      <c r="AA31" s="209"/>
      <c r="BB31" s="7">
        <f t="shared" si="7"/>
      </c>
    </row>
    <row r="32" spans="1:54" ht="12.75">
      <c r="A32" s="210" t="s">
        <v>52</v>
      </c>
      <c r="B32" s="211"/>
      <c r="C32" s="212"/>
      <c r="D32" s="213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13">
        <f>IF(D32="",,VLOOKUP(D32,D$22:D31,1,0))</f>
        <v>0</v>
      </c>
      <c r="F32" s="214">
        <f t="shared" si="1"/>
        <v>0</v>
      </c>
      <c r="G32" s="215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197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17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18"/>
      <c r="M32" s="218"/>
      <c r="N32" s="218"/>
      <c r="O32" s="202"/>
      <c r="P32" s="203">
        <f t="shared" si="2"/>
      </c>
      <c r="Q32" s="204">
        <f t="shared" si="8"/>
      </c>
      <c r="R32" s="204">
        <f t="shared" si="3"/>
        <v>0</v>
      </c>
      <c r="S32" s="204">
        <f t="shared" si="4"/>
        <v>0</v>
      </c>
      <c r="T32" s="219">
        <f t="shared" si="5"/>
        <v>0</v>
      </c>
      <c r="U32" s="205">
        <f t="shared" si="6"/>
      </c>
      <c r="V32" s="206" t="s">
        <v>52</v>
      </c>
      <c r="X32" s="207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08"/>
      <c r="AA32" s="209"/>
      <c r="BB32" s="7">
        <f t="shared" si="7"/>
      </c>
    </row>
    <row r="33" spans="1:54" ht="12.75">
      <c r="A33" s="210" t="s">
        <v>52</v>
      </c>
      <c r="B33" s="211"/>
      <c r="C33" s="212"/>
      <c r="D33" s="213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13">
        <f>IF(D33="",,VLOOKUP(D33,D$22:D32,1,0))</f>
        <v>0</v>
      </c>
      <c r="F33" s="214">
        <f t="shared" si="1"/>
        <v>0</v>
      </c>
      <c r="G33" s="215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197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21"/>
      <c r="M33" s="221"/>
      <c r="N33" s="221"/>
      <c r="O33" s="222"/>
      <c r="P33" s="203">
        <f t="shared" si="2"/>
      </c>
      <c r="Q33" s="204">
        <f t="shared" si="8"/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52</v>
      </c>
      <c r="X33" s="207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08"/>
      <c r="AA33" s="209"/>
      <c r="BB33" s="7">
        <f t="shared" si="7"/>
      </c>
    </row>
    <row r="34" spans="1:54" ht="12.75">
      <c r="A34" s="210" t="s">
        <v>52</v>
      </c>
      <c r="B34" s="211"/>
      <c r="C34" s="212"/>
      <c r="D34" s="213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13">
        <f>IF(D34="",,VLOOKUP(D34,D$22:D33,1,0))</f>
        <v>0</v>
      </c>
      <c r="F34" s="223">
        <f t="shared" si="1"/>
        <v>0</v>
      </c>
      <c r="G34" s="215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197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17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21"/>
      <c r="M34" s="221"/>
      <c r="N34" s="221"/>
      <c r="O34" s="222"/>
      <c r="P34" s="203">
        <f t="shared" si="2"/>
      </c>
      <c r="Q34" s="204">
        <f t="shared" si="8"/>
      </c>
      <c r="R34" s="204">
        <f t="shared" si="3"/>
        <v>0</v>
      </c>
      <c r="S34" s="204">
        <f t="shared" si="4"/>
        <v>0</v>
      </c>
      <c r="T34" s="219">
        <f t="shared" si="5"/>
        <v>0</v>
      </c>
      <c r="U34" s="205">
        <f t="shared" si="6"/>
      </c>
      <c r="V34" s="206" t="s">
        <v>52</v>
      </c>
      <c r="X34" s="207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08"/>
      <c r="AA34" s="209"/>
      <c r="BB34" s="7">
        <f t="shared" si="7"/>
      </c>
    </row>
    <row r="35" spans="1:54" ht="12.75">
      <c r="A35" s="210" t="s">
        <v>52</v>
      </c>
      <c r="B35" s="211"/>
      <c r="C35" s="212"/>
      <c r="D35" s="213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13">
        <f>IF(D35="",,VLOOKUP(D35,D$22:D34,1,0))</f>
        <v>0</v>
      </c>
      <c r="F35" s="223">
        <f t="shared" si="1"/>
        <v>0</v>
      </c>
      <c r="G35" s="215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197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18"/>
      <c r="M35" s="218"/>
      <c r="N35" s="218"/>
      <c r="O35" s="202"/>
      <c r="P35" s="203">
        <f t="shared" si="2"/>
      </c>
      <c r="Q35" s="204">
        <f t="shared" si="8"/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52</v>
      </c>
      <c r="X35" s="207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08"/>
      <c r="AA35" s="209"/>
      <c r="BB35" s="7">
        <f t="shared" si="7"/>
      </c>
    </row>
    <row r="36" spans="1:54" ht="12.75">
      <c r="A36" s="210" t="s">
        <v>52</v>
      </c>
      <c r="B36" s="211"/>
      <c r="C36" s="212"/>
      <c r="D36" s="213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13">
        <f>IF(D36="",,VLOOKUP(D36,D$22:D35,1,0))</f>
        <v>0</v>
      </c>
      <c r="F36" s="223">
        <f t="shared" si="1"/>
        <v>0</v>
      </c>
      <c r="G36" s="215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197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18"/>
      <c r="M36" s="218"/>
      <c r="N36" s="218"/>
      <c r="O36" s="202"/>
      <c r="P36" s="203">
        <f t="shared" si="2"/>
      </c>
      <c r="Q36" s="204">
        <f t="shared" si="8"/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52</v>
      </c>
      <c r="W36" s="206"/>
      <c r="X36" s="207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08"/>
      <c r="AA36" s="209"/>
      <c r="BB36" s="7">
        <f t="shared" si="7"/>
      </c>
    </row>
    <row r="37" spans="1:54" ht="12.75">
      <c r="A37" s="210" t="s">
        <v>52</v>
      </c>
      <c r="B37" s="211"/>
      <c r="C37" s="212"/>
      <c r="D37" s="213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13">
        <f>IF(D37="",,VLOOKUP(D37,D$22:D36,1,0))</f>
        <v>0</v>
      </c>
      <c r="F37" s="223">
        <f t="shared" si="1"/>
        <v>0</v>
      </c>
      <c r="G37" s="215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197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18"/>
      <c r="M37" s="218"/>
      <c r="N37" s="218"/>
      <c r="O37" s="202"/>
      <c r="P37" s="203">
        <f t="shared" si="2"/>
      </c>
      <c r="Q37" s="204">
        <f t="shared" si="8"/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08"/>
      <c r="AA37" s="209"/>
      <c r="BB37" s="7">
        <f t="shared" si="7"/>
      </c>
    </row>
    <row r="38" spans="1:54" ht="12.75">
      <c r="A38" s="210" t="s">
        <v>52</v>
      </c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52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52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52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52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76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63"/>
      <c r="Y83" s="263"/>
      <c r="Z83" s="240"/>
      <c r="AA83" s="241"/>
      <c r="AB83" s="241"/>
      <c r="AC83" s="241"/>
    </row>
    <row r="84" spans="1:29" ht="12.75" hidden="1">
      <c r="A84" s="242" t="str">
        <f>A3</f>
        <v>Bleone</v>
      </c>
      <c r="B84" s="243" t="str">
        <f>C3</f>
        <v>Mallemoisson</v>
      </c>
      <c r="C84" s="244">
        <f>A4</f>
        <v>40026</v>
      </c>
      <c r="D84" s="245">
        <f>IF(ISERROR(SUM($S$23:$S$82)/SUM($T$23:$T$82)),"",SUM($S$23:$S$82)/SUM($T$23:$T$82))</f>
        <v>9.333333333333334</v>
      </c>
      <c r="E84" s="246">
        <f>N13</f>
        <v>4</v>
      </c>
      <c r="F84" s="243">
        <f>N14</f>
        <v>4</v>
      </c>
      <c r="G84" s="243">
        <f>N15</f>
        <v>3</v>
      </c>
      <c r="H84" s="243">
        <f>N16</f>
        <v>1</v>
      </c>
      <c r="I84" s="243">
        <f>N17</f>
        <v>0</v>
      </c>
      <c r="J84" s="247">
        <f>N8</f>
        <v>9.5</v>
      </c>
      <c r="K84" s="245">
        <f>N9</f>
        <v>2.516611478423583</v>
      </c>
      <c r="L84" s="246">
        <f>N10</f>
        <v>6</v>
      </c>
      <c r="M84" s="246">
        <f>N11</f>
        <v>12</v>
      </c>
      <c r="N84" s="245">
        <f>O8</f>
        <v>1.25</v>
      </c>
      <c r="O84" s="245">
        <f>O9</f>
        <v>0.5</v>
      </c>
      <c r="P84" s="246">
        <f>O10</f>
        <v>1</v>
      </c>
      <c r="Q84" s="246">
        <f>O11</f>
        <v>2</v>
      </c>
      <c r="R84" s="248">
        <f>F21</f>
        <v>0.53</v>
      </c>
      <c r="S84" s="246">
        <f>K11</f>
        <v>0</v>
      </c>
      <c r="T84" s="246">
        <f>K12</f>
        <v>3</v>
      </c>
      <c r="U84" s="246">
        <f>K13</f>
        <v>0</v>
      </c>
      <c r="V84" s="249">
        <f>K14</f>
        <v>1</v>
      </c>
      <c r="W84" s="250">
        <f>K15</f>
        <v>0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77</v>
      </c>
      <c r="Q86" s="7"/>
      <c r="R86" s="205"/>
      <c r="S86" s="7"/>
      <c r="T86" s="7"/>
      <c r="U86" s="7"/>
    </row>
    <row r="87" spans="16:21" ht="12.75" hidden="1">
      <c r="P87" s="7" t="s">
        <v>78</v>
      </c>
      <c r="Q87" s="7"/>
      <c r="R87" s="205">
        <f>VLOOKUP(MAX($R$23:$R$82),($R$23:$T$82),1,0)</f>
        <v>12</v>
      </c>
      <c r="S87" s="7"/>
      <c r="T87" s="7"/>
      <c r="U87" s="7"/>
    </row>
    <row r="88" spans="16:21" ht="12.75" hidden="1">
      <c r="P88" s="7" t="s">
        <v>79</v>
      </c>
      <c r="Q88" s="7"/>
      <c r="R88" s="205">
        <f>VLOOKUP((R87),($R$23:$T$82),2,0)</f>
        <v>12</v>
      </c>
      <c r="S88" s="7"/>
      <c r="T88" s="7"/>
      <c r="U88" s="7"/>
    </row>
    <row r="89" spans="16:19" ht="12.75" hidden="1">
      <c r="P89" s="7" t="s">
        <v>80</v>
      </c>
      <c r="Q89" s="7"/>
      <c r="R89" s="205">
        <f>VLOOKUP((R87),($R$23:$T$82),3,0)</f>
        <v>2</v>
      </c>
      <c r="S89" s="7"/>
    </row>
    <row r="90" spans="16:19" ht="12.75" hidden="1">
      <c r="P90" s="7" t="s">
        <v>81</v>
      </c>
      <c r="Q90" s="7"/>
      <c r="R90" s="253">
        <f>IF(ISERROR(SUM($S$23:$S$82)/SUM($T$23:$T$82)),"",(SUM($S$23:$S$82)-R88)/(SUM($T$23:$T$82)-R89))</f>
        <v>11</v>
      </c>
      <c r="S90" s="7"/>
    </row>
    <row r="91" spans="16:20" ht="12.75" hidden="1">
      <c r="P91" s="204" t="s">
        <v>82</v>
      </c>
      <c r="Q91" s="204"/>
      <c r="R91" s="204" t="str">
        <f>INDEX('[1]liste reference'!$A$7:$A$906,$S$91)</f>
        <v>CLA.SPX</v>
      </c>
      <c r="S91" s="7">
        <f>IF(ISERROR(MATCH($R$93,'[1]liste reference'!$A$7:$A$906,0)),MATCH($R$93,'[1]liste reference'!$B$7:$B$906,0),(MATCH($R$93,'[1]liste reference'!$A$7:$A$906,0)))</f>
        <v>24</v>
      </c>
      <c r="T91" s="241"/>
    </row>
    <row r="92" spans="16:19" ht="12.75" hidden="1">
      <c r="P92" s="7" t="s">
        <v>83</v>
      </c>
      <c r="Q92" s="7"/>
      <c r="R92" s="7">
        <f>MATCH(R87,$R$23:$R$82,0)</f>
        <v>2</v>
      </c>
      <c r="S92" s="7"/>
    </row>
    <row r="93" spans="16:19" ht="12.75" hidden="1">
      <c r="P93" s="204" t="s">
        <v>84</v>
      </c>
      <c r="Q93" s="7"/>
      <c r="R93" s="204" t="str">
        <f>INDEX($A$23:$A$82,$R$92)</f>
        <v>CLA.SPX</v>
      </c>
      <c r="S93" s="7"/>
    </row>
    <row r="94" ht="12.75">
      <c r="R94" s="241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E9:E17 B9:D18 B23:C42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2013-10-22T13:30:39Z</dcterms:created>
  <dcterms:modified xsi:type="dcterms:W3CDTF">2013-10-23T13:34:29Z</dcterms:modified>
  <cp:category/>
  <cp:version/>
  <cp:contentType/>
  <cp:contentStatus/>
</cp:coreProperties>
</file>